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Civpro\JacksonTownship\SafeRouteToSchool\"/>
    </mc:Choice>
  </mc:AlternateContent>
  <xr:revisionPtr revIDLastSave="0" documentId="8_{344634E3-3A01-48A1-A864-FAE2C746A0B8}" xr6:coauthVersionLast="47" xr6:coauthVersionMax="47" xr10:uidLastSave="{00000000-0000-0000-0000-000000000000}"/>
  <bookViews>
    <workbookView xWindow="-120" yWindow="-120" windowWidth="29040" windowHeight="15720" xr2:uid="{2BABA86E-09AC-4256-97C6-FAF1CB34A5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7" i="1" l="1"/>
  <c r="J395" i="1"/>
  <c r="I395" i="1"/>
  <c r="G397" i="1"/>
  <c r="H395" i="1"/>
  <c r="G395" i="1"/>
  <c r="I392" i="1"/>
  <c r="I391" i="1"/>
  <c r="I390" i="1"/>
  <c r="D389" i="1"/>
  <c r="E388" i="1"/>
  <c r="T369" i="1"/>
  <c r="T373" i="1"/>
  <c r="R332" i="1"/>
  <c r="R333" i="1"/>
  <c r="R331" i="1"/>
  <c r="H370" i="1"/>
  <c r="H369" i="1"/>
  <c r="G371" i="1"/>
  <c r="G370" i="1"/>
  <c r="M377" i="1"/>
  <c r="L375" i="1"/>
  <c r="L373" i="1"/>
  <c r="K373" i="1"/>
  <c r="K372" i="1"/>
  <c r="B355" i="1"/>
  <c r="C355" i="1"/>
  <c r="D355" i="1"/>
  <c r="L355" i="1"/>
  <c r="M355" i="1"/>
  <c r="G339" i="1"/>
  <c r="F339" i="1"/>
  <c r="E339" i="1"/>
  <c r="K340" i="1"/>
  <c r="J339" i="1"/>
  <c r="H333" i="1"/>
  <c r="H331" i="1"/>
  <c r="C340" i="1"/>
  <c r="J361" i="1"/>
  <c r="J360" i="1"/>
  <c r="K355" i="1"/>
  <c r="A339" i="1"/>
  <c r="I315" i="1"/>
  <c r="H315" i="1"/>
  <c r="G315" i="1"/>
  <c r="D314" i="1"/>
  <c r="C314" i="1"/>
  <c r="B314" i="1"/>
  <c r="B317" i="1"/>
  <c r="C317" i="1"/>
  <c r="D317" i="1"/>
  <c r="B309" i="1"/>
  <c r="B306" i="1"/>
  <c r="B303" i="1"/>
  <c r="C309" i="1"/>
  <c r="C306" i="1"/>
  <c r="C303" i="1"/>
  <c r="D309" i="1"/>
  <c r="D306" i="1"/>
  <c r="D303" i="1"/>
  <c r="B298" i="1"/>
  <c r="C298" i="1"/>
  <c r="D298" i="1"/>
  <c r="D295" i="1"/>
  <c r="C295" i="1"/>
  <c r="B295" i="1"/>
  <c r="L294" i="1"/>
  <c r="K295" i="1"/>
  <c r="J295" i="1"/>
  <c r="I296" i="1"/>
  <c r="D283" i="1"/>
  <c r="C283" i="1"/>
  <c r="B283" i="1"/>
  <c r="D286" i="1"/>
  <c r="C286" i="1"/>
  <c r="B286" i="1"/>
  <c r="D289" i="1"/>
  <c r="C289" i="1"/>
  <c r="B289" i="1"/>
  <c r="B292" i="1"/>
  <c r="C292" i="1"/>
  <c r="D292" i="1"/>
  <c r="E255" i="1"/>
  <c r="E256" i="1" s="1"/>
  <c r="E257" i="1" s="1"/>
  <c r="F255" i="1"/>
  <c r="F256" i="1" s="1"/>
  <c r="L259" i="1"/>
  <c r="L258" i="1"/>
  <c r="L257" i="1"/>
  <c r="L256" i="1"/>
  <c r="G253" i="1"/>
  <c r="H253" i="1" s="1"/>
  <c r="J239" i="1"/>
  <c r="J240" i="1" s="1"/>
  <c r="I239" i="1"/>
  <c r="I240" i="1" s="1"/>
  <c r="S248" i="1"/>
  <c r="R248" i="1"/>
  <c r="R247" i="1"/>
  <c r="S247" i="1" s="1"/>
  <c r="N246" i="1"/>
  <c r="L246" i="1"/>
  <c r="N247" i="1"/>
  <c r="P248" i="1"/>
  <c r="P247" i="1"/>
  <c r="O249" i="1"/>
  <c r="O248" i="1"/>
  <c r="O247" i="1"/>
  <c r="M248" i="1"/>
  <c r="M247" i="1"/>
  <c r="L247" i="1"/>
  <c r="R208" i="1"/>
  <c r="S208" i="1" s="1"/>
  <c r="R209" i="1"/>
  <c r="S209" i="1" s="1"/>
  <c r="R210" i="1"/>
  <c r="S210" i="1" s="1"/>
  <c r="R207" i="1"/>
  <c r="S207" i="1" s="1"/>
  <c r="R206" i="1"/>
  <c r="S206" i="1" s="1"/>
  <c r="R205" i="1"/>
  <c r="S205" i="1" s="1"/>
  <c r="S203" i="1"/>
  <c r="S204" i="1" s="1"/>
  <c r="K221" i="1"/>
  <c r="J221" i="1"/>
  <c r="E221" i="1"/>
  <c r="G219" i="1"/>
  <c r="G217" i="1"/>
  <c r="G215" i="1"/>
  <c r="G213" i="1"/>
  <c r="G211" i="1"/>
  <c r="G209" i="1"/>
  <c r="F219" i="1"/>
  <c r="F217" i="1"/>
  <c r="F215" i="1"/>
  <c r="F213" i="1"/>
  <c r="F211" i="1"/>
  <c r="F209" i="1"/>
  <c r="C209" i="1"/>
  <c r="B221" i="1"/>
  <c r="B219" i="1"/>
  <c r="D219" i="1" s="1"/>
  <c r="B217" i="1"/>
  <c r="D217" i="1" s="1"/>
  <c r="B215" i="1"/>
  <c r="D215" i="1" s="1"/>
  <c r="B213" i="1"/>
  <c r="I213" i="1" s="1"/>
  <c r="B211" i="1"/>
  <c r="D211" i="1" s="1"/>
  <c r="B209" i="1"/>
  <c r="P187" i="1"/>
  <c r="P196" i="1"/>
  <c r="R196" i="1" s="1"/>
  <c r="P193" i="1"/>
  <c r="R193" i="1" s="1"/>
  <c r="M197" i="1"/>
  <c r="M196" i="1"/>
  <c r="F187" i="1"/>
  <c r="C191" i="1" s="1"/>
  <c r="I189" i="1"/>
  <c r="J189" i="1" s="1"/>
  <c r="H179" i="1"/>
  <c r="H181" i="1"/>
  <c r="H178" i="1"/>
  <c r="H215" i="1" l="1"/>
  <c r="R244" i="1"/>
  <c r="R245" i="1" s="1"/>
  <c r="H209" i="1"/>
  <c r="H217" i="1"/>
  <c r="I219" i="1"/>
  <c r="C188" i="1"/>
  <c r="H211" i="1"/>
  <c r="H219" i="1"/>
  <c r="I215" i="1"/>
  <c r="I211" i="1"/>
  <c r="H213" i="1"/>
  <c r="I209" i="1"/>
  <c r="I217" i="1"/>
  <c r="D213" i="1"/>
  <c r="D209" i="1"/>
  <c r="C186" i="1"/>
  <c r="C190" i="1"/>
  <c r="C189" i="1"/>
  <c r="C187" i="1"/>
  <c r="U163" i="1" l="1"/>
  <c r="T164" i="1"/>
  <c r="R165" i="1"/>
  <c r="Q151" i="1"/>
  <c r="Q150" i="1"/>
  <c r="R155" i="1"/>
  <c r="P155" i="1"/>
  <c r="M165" i="1"/>
  <c r="M167" i="1"/>
  <c r="M163" i="1"/>
  <c r="M161" i="1"/>
  <c r="M159" i="1"/>
  <c r="M157" i="1"/>
  <c r="N167" i="1"/>
  <c r="O167" i="1" s="1"/>
  <c r="N165" i="1"/>
  <c r="N163" i="1"/>
  <c r="N161" i="1"/>
  <c r="N159" i="1"/>
  <c r="N157" i="1"/>
  <c r="H164" i="1"/>
  <c r="G164" i="1"/>
  <c r="J163" i="1"/>
  <c r="I163" i="1"/>
  <c r="H159" i="1"/>
  <c r="G159" i="1"/>
  <c r="H158" i="1"/>
  <c r="G158" i="1"/>
  <c r="D154" i="1"/>
  <c r="A153" i="1"/>
  <c r="D162" i="1"/>
  <c r="D161" i="1"/>
  <c r="D157" i="1"/>
  <c r="D158" i="1"/>
  <c r="D159" i="1"/>
  <c r="D160" i="1"/>
  <c r="F156" i="1"/>
  <c r="C154" i="1" s="1"/>
  <c r="F136" i="1"/>
  <c r="F131" i="1"/>
  <c r="J138" i="1"/>
  <c r="J135" i="1"/>
  <c r="J130" i="1"/>
  <c r="F123" i="1"/>
  <c r="G113" i="1"/>
  <c r="G105" i="1"/>
  <c r="B96" i="1"/>
  <c r="B98" i="1"/>
  <c r="B100" i="1"/>
  <c r="B102" i="1"/>
  <c r="R88" i="1"/>
  <c r="R89" i="1"/>
  <c r="R90" i="1"/>
  <c r="R91" i="1"/>
  <c r="R92" i="1"/>
  <c r="R87" i="1"/>
  <c r="O92" i="1"/>
  <c r="L92" i="1"/>
  <c r="K88" i="1"/>
  <c r="K89" i="1"/>
  <c r="K90" i="1"/>
  <c r="K91" i="1"/>
  <c r="K92" i="1"/>
  <c r="K87" i="1"/>
  <c r="F88" i="1"/>
  <c r="F89" i="1"/>
  <c r="F90" i="1"/>
  <c r="F91" i="1"/>
  <c r="F92" i="1"/>
  <c r="F87" i="1"/>
  <c r="O35" i="1"/>
  <c r="M35" i="1"/>
  <c r="L35" i="1"/>
  <c r="N32" i="1"/>
  <c r="H39" i="1"/>
  <c r="D23" i="1"/>
  <c r="F23" i="1" s="1"/>
  <c r="D24" i="1"/>
  <c r="F24" i="1" s="1"/>
  <c r="D25" i="1"/>
  <c r="F25" i="1" s="1"/>
  <c r="D26" i="1"/>
  <c r="F26" i="1" s="1"/>
  <c r="D27" i="1"/>
  <c r="F27" i="1" s="1"/>
  <c r="D28" i="1"/>
  <c r="F28" i="1" s="1"/>
  <c r="D29" i="1"/>
  <c r="F29" i="1" s="1"/>
  <c r="D30" i="1"/>
  <c r="F30" i="1" s="1"/>
  <c r="D31" i="1"/>
  <c r="F31" i="1" s="1"/>
  <c r="D32" i="1"/>
  <c r="F32" i="1" s="1"/>
  <c r="D33" i="1"/>
  <c r="F33" i="1" s="1"/>
  <c r="D34" i="1"/>
  <c r="F34" i="1" s="1"/>
  <c r="D35" i="1"/>
  <c r="F35" i="1" s="1"/>
  <c r="D36" i="1"/>
  <c r="F36" i="1" s="1"/>
  <c r="D37" i="1"/>
  <c r="D38" i="1"/>
  <c r="F38" i="1" s="1"/>
  <c r="D22" i="1"/>
  <c r="F22" i="1" s="1"/>
  <c r="G39" i="1"/>
  <c r="F37" i="1"/>
  <c r="G18" i="1"/>
  <c r="I18" i="1"/>
  <c r="D17" i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D5" i="1"/>
  <c r="F5" i="1" s="1"/>
  <c r="D4" i="1"/>
  <c r="F4" i="1" s="1"/>
  <c r="D3" i="1"/>
  <c r="F3" i="1" s="1"/>
  <c r="D2" i="1"/>
  <c r="F2" i="1" s="1"/>
  <c r="D1" i="1"/>
  <c r="F1" i="1" s="1"/>
  <c r="C102" i="1" l="1"/>
  <c r="O157" i="1"/>
  <c r="Q154" i="1" s="1"/>
  <c r="S156" i="1" s="1"/>
  <c r="O165" i="1"/>
  <c r="T163" i="1" s="1"/>
  <c r="O159" i="1"/>
  <c r="I158" i="1"/>
  <c r="K163" i="1"/>
  <c r="I136" i="1"/>
  <c r="J136" i="1" s="1"/>
  <c r="D137" i="1" s="1"/>
  <c r="I164" i="1"/>
  <c r="C159" i="1"/>
  <c r="O161" i="1"/>
  <c r="C158" i="1"/>
  <c r="I159" i="1"/>
  <c r="O163" i="1"/>
  <c r="S165" i="1" s="1"/>
  <c r="C160" i="1"/>
  <c r="I132" i="1"/>
  <c r="J132" i="1" s="1"/>
  <c r="D132" i="1" s="1"/>
  <c r="C157" i="1"/>
  <c r="C162" i="1"/>
  <c r="D102" i="1"/>
  <c r="I123" i="1" s="1"/>
  <c r="C98" i="1"/>
  <c r="D98" i="1" s="1"/>
  <c r="F113" i="1" s="1"/>
  <c r="C96" i="1"/>
  <c r="D96" i="1" s="1"/>
  <c r="F105" i="1" s="1"/>
  <c r="C100" i="1"/>
  <c r="D100" i="1" s="1"/>
  <c r="H117" i="1" s="1"/>
  <c r="B118" i="1" s="1"/>
  <c r="Q155" i="1" l="1"/>
  <c r="D131" i="1"/>
  <c r="C131" i="1" s="1"/>
  <c r="C132" i="1" s="1"/>
  <c r="C133" i="1" s="1"/>
  <c r="C134" i="1" s="1"/>
  <c r="D136" i="1"/>
  <c r="C136" i="1" s="1"/>
  <c r="C137" i="1" s="1"/>
  <c r="H113" i="1"/>
  <c r="B114" i="1" s="1"/>
  <c r="H105" i="1"/>
  <c r="B106" i="1" s="1"/>
  <c r="B107" i="1" s="1"/>
  <c r="B108" i="1" s="1"/>
  <c r="B109" i="1" s="1"/>
  <c r="B110" i="1" s="1"/>
  <c r="B111" i="1" s="1"/>
  <c r="B112" i="1" s="1"/>
  <c r="G123" i="1"/>
  <c r="B124" i="1" s="1"/>
  <c r="B125" i="1" s="1"/>
  <c r="F117" i="1"/>
  <c r="B119" i="1" s="1"/>
  <c r="B120" i="1" s="1"/>
  <c r="B121" i="1" s="1"/>
  <c r="B122" i="1" s="1"/>
  <c r="B115" i="1"/>
  <c r="B116" i="1" s="1"/>
</calcChain>
</file>

<file path=xl/sharedStrings.xml><?xml version="1.0" encoding="utf-8"?>
<sst xmlns="http://schemas.openxmlformats.org/spreadsheetml/2006/main" count="265" uniqueCount="188">
  <si>
    <t>10+50</t>
  </si>
  <si>
    <t>10+75</t>
  </si>
  <si>
    <t>11+00</t>
  </si>
  <si>
    <t>11+25</t>
  </si>
  <si>
    <t>11+50</t>
  </si>
  <si>
    <t>11+75</t>
  </si>
  <si>
    <t>10+26.94</t>
  </si>
  <si>
    <t>9+97.26</t>
  </si>
  <si>
    <t>9+85.87</t>
  </si>
  <si>
    <t>9+84.93</t>
  </si>
  <si>
    <t>9+75</t>
  </si>
  <si>
    <t>12+00</t>
  </si>
  <si>
    <t>12+18.39</t>
  </si>
  <si>
    <t>12+38.12</t>
  </si>
  <si>
    <t>12+50</t>
  </si>
  <si>
    <t>12+75</t>
  </si>
  <si>
    <t>13+00</t>
  </si>
  <si>
    <t>13+25</t>
  </si>
  <si>
    <t>13+50</t>
  </si>
  <si>
    <t>13+56.64</t>
  </si>
  <si>
    <t>13+75.30</t>
  </si>
  <si>
    <t>14+00</t>
  </si>
  <si>
    <t>14+25</t>
  </si>
  <si>
    <t>14+38.70</t>
  </si>
  <si>
    <t>14+50</t>
  </si>
  <si>
    <t>G</t>
  </si>
  <si>
    <t>STM</t>
  </si>
  <si>
    <t>EP</t>
  </si>
  <si>
    <t>6.97F-C</t>
  </si>
  <si>
    <t>2+50</t>
  </si>
  <si>
    <t>2+75</t>
  </si>
  <si>
    <t>3+00</t>
  </si>
  <si>
    <t>3+25</t>
  </si>
  <si>
    <t>3+50</t>
  </si>
  <si>
    <t>3+75</t>
  </si>
  <si>
    <t>3+93.16</t>
  </si>
  <si>
    <t>9+85.27</t>
  </si>
  <si>
    <t>13.44 RT</t>
  </si>
  <si>
    <t>11+60.42</t>
  </si>
  <si>
    <t>12.55 RT</t>
  </si>
  <si>
    <t>12+39.57</t>
  </si>
  <si>
    <t>13.01 RT</t>
  </si>
  <si>
    <t>T/G</t>
  </si>
  <si>
    <t>INV</t>
  </si>
  <si>
    <t>MUDBROOK</t>
  </si>
  <si>
    <t>13+54.77</t>
  </si>
  <si>
    <t>14+26.47</t>
  </si>
  <si>
    <t>10+00</t>
  </si>
  <si>
    <t>10+25</t>
  </si>
  <si>
    <t>12+25</t>
  </si>
  <si>
    <t>13+75</t>
  </si>
  <si>
    <t>1+25</t>
  </si>
  <si>
    <t>2+25</t>
  </si>
  <si>
    <t>2+27.956</t>
  </si>
  <si>
    <t>3+30.5740</t>
  </si>
  <si>
    <t>3+97.8827</t>
  </si>
  <si>
    <t>4+62.15</t>
  </si>
  <si>
    <t>4+68.90</t>
  </si>
  <si>
    <t>4+75</t>
  </si>
  <si>
    <t>4+86.36</t>
  </si>
  <si>
    <t>5+00</t>
  </si>
  <si>
    <t>5+06.32</t>
  </si>
  <si>
    <t>5+13.64</t>
  </si>
  <si>
    <t>1+00</t>
  </si>
  <si>
    <t>1+02.5066</t>
  </si>
  <si>
    <t>1+07.4258</t>
  </si>
  <si>
    <t>1+14.5015</t>
  </si>
  <si>
    <t>1+22.35</t>
  </si>
  <si>
    <t>tc</t>
  </si>
  <si>
    <t>walk</t>
  </si>
  <si>
    <t>1+33.5559</t>
  </si>
  <si>
    <t>1+48.1364</t>
  </si>
  <si>
    <t>1+50.00</t>
  </si>
  <si>
    <t>0+95.7948</t>
  </si>
  <si>
    <t>0+97.79</t>
  </si>
  <si>
    <t>1+50</t>
  </si>
  <si>
    <t>1+75</t>
  </si>
  <si>
    <t>mh</t>
  </si>
  <si>
    <t>cb</t>
  </si>
  <si>
    <t>j</t>
  </si>
  <si>
    <t>a</t>
  </si>
  <si>
    <t>f</t>
  </si>
  <si>
    <t>0+93.42</t>
  </si>
  <si>
    <t>1+02.08</t>
  </si>
  <si>
    <t>1+08.64</t>
  </si>
  <si>
    <t>1+15.01</t>
  </si>
  <si>
    <t>1+48.53</t>
  </si>
  <si>
    <t>2+00</t>
  </si>
  <si>
    <t>0+85</t>
  </si>
  <si>
    <t>TC</t>
  </si>
  <si>
    <t>SW</t>
  </si>
  <si>
    <t>SEED END</t>
  </si>
  <si>
    <t>SQ YDS</t>
  </si>
  <si>
    <t>CUT</t>
  </si>
  <si>
    <t>FILL</t>
  </si>
  <si>
    <t>C CY</t>
  </si>
  <si>
    <t>F CY</t>
  </si>
  <si>
    <t>ROUND</t>
  </si>
  <si>
    <t>stm flow</t>
  </si>
  <si>
    <t>0+11.76</t>
  </si>
  <si>
    <t>60+00</t>
  </si>
  <si>
    <t>60+04</t>
  </si>
  <si>
    <t>60+10.12</t>
  </si>
  <si>
    <t>60+16.12</t>
  </si>
  <si>
    <t>60+25</t>
  </si>
  <si>
    <t>60+50</t>
  </si>
  <si>
    <t>60+75</t>
  </si>
  <si>
    <t>61+00</t>
  </si>
  <si>
    <t>61+50</t>
  </si>
  <si>
    <t>61+75</t>
  </si>
  <si>
    <t>61+99.57</t>
  </si>
  <si>
    <t>62+09.16</t>
  </si>
  <si>
    <t>62+31.24</t>
  </si>
  <si>
    <t>62+50</t>
  </si>
  <si>
    <t>62+75</t>
  </si>
  <si>
    <t>63+00</t>
  </si>
  <si>
    <t>63+25</t>
  </si>
  <si>
    <t>63+50</t>
  </si>
  <si>
    <t>63+75</t>
  </si>
  <si>
    <t>63+97</t>
  </si>
  <si>
    <t>64+03.14</t>
  </si>
  <si>
    <t>64+25</t>
  </si>
  <si>
    <t>64+50</t>
  </si>
  <si>
    <t>64+75</t>
  </si>
  <si>
    <t>64+92</t>
  </si>
  <si>
    <t>65+00</t>
  </si>
  <si>
    <t>65+12.42</t>
  </si>
  <si>
    <t>65+30.42</t>
  </si>
  <si>
    <t>65+49</t>
  </si>
  <si>
    <t>65+50</t>
  </si>
  <si>
    <t>65+80.48</t>
  </si>
  <si>
    <t>66+00</t>
  </si>
  <si>
    <t>66+25</t>
  </si>
  <si>
    <t>66+49.52</t>
  </si>
  <si>
    <t>67+06.67</t>
  </si>
  <si>
    <t>67+77.01</t>
  </si>
  <si>
    <t>67+88.44</t>
  </si>
  <si>
    <t>67+93.44</t>
  </si>
  <si>
    <t>68+00</t>
  </si>
  <si>
    <t>WL</t>
  </si>
  <si>
    <t>SAN</t>
  </si>
  <si>
    <t>61+25.22</t>
  </si>
  <si>
    <t>X</t>
  </si>
  <si>
    <t>XX</t>
  </si>
  <si>
    <t>MH</t>
  </si>
  <si>
    <t>CB</t>
  </si>
  <si>
    <t>OUTLET</t>
  </si>
  <si>
    <t>63+50.139</t>
  </si>
  <si>
    <t>64+74.48</t>
  </si>
  <si>
    <t>65+17.343</t>
  </si>
  <si>
    <t>62+83.03</t>
  </si>
  <si>
    <t>SHEET</t>
  </si>
  <si>
    <t>SEEDING</t>
  </si>
  <si>
    <t>EXC</t>
  </si>
  <si>
    <t>EMBANK</t>
  </si>
  <si>
    <t>WALK</t>
  </si>
  <si>
    <t>GUARDRAIL TYPE MGS</t>
  </si>
  <si>
    <t>ANCHOR ASSEMBLY TYPE E</t>
  </si>
  <si>
    <t>BRIDGE TERMINAL ASSEMBLY, TYPE 1</t>
  </si>
  <si>
    <t>4" CONCRETE WALK</t>
  </si>
  <si>
    <t>CURB, TYPE 6</t>
  </si>
  <si>
    <t>CURB RAMP</t>
  </si>
  <si>
    <t>CURB REMOVED</t>
  </si>
  <si>
    <t>GUARDRAIL REMOVED</t>
  </si>
  <si>
    <t>WALK REMOVED</t>
  </si>
  <si>
    <t>MANHOLE RECONST TO GRADE</t>
  </si>
  <si>
    <t>TRAFFIC BOX ADUST TO GRADE</t>
  </si>
  <si>
    <t>CURB, TYPE 7</t>
  </si>
  <si>
    <t>ITEM 407-TACK COAT</t>
  </si>
  <si>
    <t>GAL</t>
  </si>
  <si>
    <t>ITEN 204 - SUBGRADE COMPACTION</t>
  </si>
  <si>
    <t>SY</t>
  </si>
  <si>
    <t>441-ASPHALT CONCRETE SURFACE COURSE, (449) TYPE 1</t>
  </si>
  <si>
    <t>CY</t>
  </si>
  <si>
    <t>441 ASPHALT CONCRETE INTERMEDIATE COURSE, (449) TYPE 1</t>
  </si>
  <si>
    <t>301- ASPHALT CONCRETE BASE</t>
  </si>
  <si>
    <t>304-AGGREAGTE BASE</t>
  </si>
  <si>
    <t>226+19</t>
  </si>
  <si>
    <t>203 - PAVEMENT REMOVAL</t>
  </si>
  <si>
    <t>452-8" NON REIFORCED CONCRETE PAVEMENT CLASS QG P1</t>
  </si>
  <si>
    <t>203 EXCAVATION</t>
  </si>
  <si>
    <t>203 EMBANKMENT</t>
  </si>
  <si>
    <t xml:space="preserve">659 SEEDING </t>
  </si>
  <si>
    <t>SOIL TEST</t>
  </si>
  <si>
    <t>TOPSOIL</t>
  </si>
  <si>
    <t>COMMERCIAL</t>
  </si>
  <si>
    <t>WATER</t>
  </si>
  <si>
    <t>LIME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</si>
</sst>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10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71033-6160-4E70-88D5-E9A31ADB6502}">
  <dimension ref="A1:U397"/>
  <sheetViews>
    <sheetView tabSelected="1" topLeftCell="A368" workbookViewId="0">
      <selection activeCell="I398" sqref="I398"/>
    </sheetView>
  </sheetViews>
  <sheetFormatPr defaultRowHeight="15" x14ac:dyDescent="0.25"/>
  <cols>
    <col min="1" max="5" width="10.5703125" customWidth="1"/>
    <col min="6" max="12" width="12" customWidth="1"/>
    <col min="18" max="18" width="10.7109375" customWidth="1"/>
    <col min="19" max="19" width="50.42578125" customWidth="1"/>
  </cols>
  <sheetData>
    <row r="1" spans="1:9" x14ac:dyDescent="0.25">
      <c r="A1">
        <v>5</v>
      </c>
      <c r="B1">
        <v>1.5</v>
      </c>
      <c r="C1">
        <v>0.75</v>
      </c>
      <c r="D1">
        <f>1/27</f>
        <v>3.7037037037037035E-2</v>
      </c>
      <c r="F1">
        <f>A1*B1*C1*D1</f>
        <v>0.20833333333333331</v>
      </c>
      <c r="G1">
        <v>0.20899999999999999</v>
      </c>
      <c r="I1">
        <v>3.5000000000000003E-2</v>
      </c>
    </row>
    <row r="2" spans="1:9" x14ac:dyDescent="0.25">
      <c r="A2">
        <v>6</v>
      </c>
      <c r="B2">
        <v>1.5</v>
      </c>
      <c r="C2">
        <v>0.75</v>
      </c>
      <c r="D2">
        <f t="shared" ref="D2:D38" si="0">1/27</f>
        <v>3.7037037037037035E-2</v>
      </c>
      <c r="F2">
        <f t="shared" ref="F2:F29" si="1">A2*B2*C2*D2</f>
        <v>0.25</v>
      </c>
      <c r="G2">
        <v>0.25</v>
      </c>
      <c r="I2">
        <v>0.41699999999999998</v>
      </c>
    </row>
    <row r="3" spans="1:9" x14ac:dyDescent="0.25">
      <c r="A3">
        <v>10</v>
      </c>
      <c r="B3">
        <v>1.5</v>
      </c>
      <c r="C3">
        <v>0.75</v>
      </c>
      <c r="D3">
        <f t="shared" si="0"/>
        <v>3.7037037037037035E-2</v>
      </c>
      <c r="F3">
        <f t="shared" si="1"/>
        <v>0.41666666666666663</v>
      </c>
      <c r="G3">
        <v>0.41699999999999998</v>
      </c>
      <c r="I3">
        <v>7.0000000000000007E-2</v>
      </c>
    </row>
    <row r="4" spans="1:9" x14ac:dyDescent="0.25">
      <c r="A4">
        <v>8</v>
      </c>
      <c r="B4">
        <v>1.5</v>
      </c>
      <c r="C4">
        <v>0.75</v>
      </c>
      <c r="D4">
        <f t="shared" si="0"/>
        <v>3.7037037037037035E-2</v>
      </c>
      <c r="F4">
        <f t="shared" si="1"/>
        <v>0.33333333333333331</v>
      </c>
      <c r="G4">
        <v>0.33400000000000002</v>
      </c>
      <c r="I4">
        <v>0.56000000000000005</v>
      </c>
    </row>
    <row r="5" spans="1:9" x14ac:dyDescent="0.25">
      <c r="A5">
        <v>252</v>
      </c>
      <c r="B5">
        <v>1.5</v>
      </c>
      <c r="C5">
        <v>0.75</v>
      </c>
      <c r="D5">
        <f t="shared" si="0"/>
        <v>3.7037037037037035E-2</v>
      </c>
      <c r="F5">
        <f t="shared" si="1"/>
        <v>10.5</v>
      </c>
      <c r="G5">
        <v>10.5</v>
      </c>
      <c r="I5">
        <v>1.75</v>
      </c>
    </row>
    <row r="6" spans="1:9" x14ac:dyDescent="0.25">
      <c r="A6">
        <v>11</v>
      </c>
      <c r="B6">
        <v>1.5</v>
      </c>
      <c r="C6">
        <v>0.75</v>
      </c>
      <c r="D6">
        <f t="shared" si="0"/>
        <v>3.7037037037037035E-2</v>
      </c>
      <c r="F6">
        <f t="shared" si="1"/>
        <v>0.45833333333333331</v>
      </c>
      <c r="G6">
        <v>0.45900000000000002</v>
      </c>
      <c r="I6">
        <v>7.6999999999999999E-2</v>
      </c>
    </row>
    <row r="7" spans="1:9" x14ac:dyDescent="0.25">
      <c r="A7">
        <v>401</v>
      </c>
      <c r="B7">
        <v>1.5</v>
      </c>
      <c r="C7">
        <v>0.75</v>
      </c>
      <c r="D7">
        <f t="shared" si="0"/>
        <v>3.7037037037037035E-2</v>
      </c>
      <c r="F7">
        <f t="shared" si="1"/>
        <v>16.708333333333332</v>
      </c>
      <c r="G7">
        <v>16.709</v>
      </c>
      <c r="I7">
        <v>2.7850000000000001</v>
      </c>
    </row>
    <row r="8" spans="1:9" x14ac:dyDescent="0.25">
      <c r="A8">
        <v>5</v>
      </c>
      <c r="B8">
        <v>1.5</v>
      </c>
      <c r="C8">
        <v>0.75</v>
      </c>
      <c r="D8">
        <f t="shared" si="0"/>
        <v>3.7037037037037035E-2</v>
      </c>
      <c r="F8">
        <f t="shared" si="1"/>
        <v>0.20833333333333331</v>
      </c>
      <c r="G8">
        <v>0.20899999999999999</v>
      </c>
      <c r="I8">
        <v>3.5000000000000003E-2</v>
      </c>
    </row>
    <row r="9" spans="1:9" x14ac:dyDescent="0.25">
      <c r="A9">
        <v>5</v>
      </c>
      <c r="B9">
        <v>1.5</v>
      </c>
      <c r="C9">
        <v>0.75</v>
      </c>
      <c r="D9">
        <f t="shared" si="0"/>
        <v>3.7037037037037035E-2</v>
      </c>
      <c r="F9">
        <f t="shared" si="1"/>
        <v>0.20833333333333331</v>
      </c>
      <c r="G9">
        <v>0.20899999999999999</v>
      </c>
      <c r="I9">
        <v>3.5000000000000003E-2</v>
      </c>
    </row>
    <row r="10" spans="1:9" x14ac:dyDescent="0.25">
      <c r="A10">
        <v>17</v>
      </c>
      <c r="B10">
        <v>1.5</v>
      </c>
      <c r="C10">
        <v>0.75</v>
      </c>
      <c r="D10">
        <f t="shared" si="0"/>
        <v>3.7037037037037035E-2</v>
      </c>
      <c r="F10">
        <f t="shared" si="1"/>
        <v>0.70833333333333326</v>
      </c>
      <c r="G10">
        <v>0.70899999999999996</v>
      </c>
      <c r="I10">
        <v>0.11799999999999999</v>
      </c>
    </row>
    <row r="11" spans="1:9" x14ac:dyDescent="0.25">
      <c r="A11">
        <v>60</v>
      </c>
      <c r="B11">
        <v>1.5</v>
      </c>
      <c r="C11">
        <v>0.75</v>
      </c>
      <c r="D11">
        <f t="shared" si="0"/>
        <v>3.7037037037037035E-2</v>
      </c>
      <c r="F11">
        <f t="shared" si="1"/>
        <v>2.5</v>
      </c>
      <c r="G11">
        <v>2.5</v>
      </c>
      <c r="I11">
        <v>0.41699999999999998</v>
      </c>
    </row>
    <row r="12" spans="1:9" x14ac:dyDescent="0.25">
      <c r="A12">
        <v>6</v>
      </c>
      <c r="B12">
        <v>1.5</v>
      </c>
      <c r="C12">
        <v>0.75</v>
      </c>
      <c r="D12">
        <f t="shared" si="0"/>
        <v>3.7037037037037035E-2</v>
      </c>
      <c r="F12">
        <f t="shared" si="1"/>
        <v>0.25</v>
      </c>
      <c r="G12">
        <v>0.25</v>
      </c>
      <c r="I12">
        <v>4.2000000000000003E-2</v>
      </c>
    </row>
    <row r="13" spans="1:9" x14ac:dyDescent="0.25">
      <c r="A13">
        <v>12</v>
      </c>
      <c r="B13">
        <v>1.5</v>
      </c>
      <c r="C13">
        <v>0.75</v>
      </c>
      <c r="D13">
        <f t="shared" si="0"/>
        <v>3.7037037037037035E-2</v>
      </c>
      <c r="F13">
        <f t="shared" si="1"/>
        <v>0.5</v>
      </c>
      <c r="G13">
        <v>0.5</v>
      </c>
      <c r="I13">
        <v>8.4000000000000005E-2</v>
      </c>
    </row>
    <row r="14" spans="1:9" x14ac:dyDescent="0.25">
      <c r="A14">
        <v>13.18</v>
      </c>
      <c r="B14">
        <v>1.5</v>
      </c>
      <c r="C14">
        <v>0.75</v>
      </c>
      <c r="D14">
        <f t="shared" si="0"/>
        <v>3.7037037037037035E-2</v>
      </c>
      <c r="F14">
        <f t="shared" si="1"/>
        <v>0.54916666666666669</v>
      </c>
      <c r="G14">
        <v>0.55000000000000004</v>
      </c>
      <c r="I14">
        <v>9.1999999999999998E-2</v>
      </c>
    </row>
    <row r="15" spans="1:9" x14ac:dyDescent="0.25">
      <c r="A15">
        <v>9.82</v>
      </c>
      <c r="B15">
        <v>1.5</v>
      </c>
      <c r="C15">
        <v>0.75</v>
      </c>
      <c r="D15">
        <f t="shared" si="0"/>
        <v>3.7037037037037035E-2</v>
      </c>
      <c r="F15">
        <f t="shared" si="1"/>
        <v>0.40916666666666662</v>
      </c>
      <c r="G15">
        <v>0.41</v>
      </c>
      <c r="I15">
        <v>6.9000000000000006E-2</v>
      </c>
    </row>
    <row r="16" spans="1:9" x14ac:dyDescent="0.25">
      <c r="A16">
        <v>11</v>
      </c>
      <c r="B16">
        <v>1.5</v>
      </c>
      <c r="C16">
        <v>0.75</v>
      </c>
      <c r="D16">
        <f t="shared" si="0"/>
        <v>3.7037037037037035E-2</v>
      </c>
      <c r="F16">
        <f t="shared" si="1"/>
        <v>0.45833333333333331</v>
      </c>
      <c r="G16">
        <v>0.45900000000000002</v>
      </c>
      <c r="I16">
        <v>7.6999999999999999E-2</v>
      </c>
    </row>
    <row r="17" spans="1:15" x14ac:dyDescent="0.25">
      <c r="A17">
        <v>11</v>
      </c>
      <c r="B17">
        <v>1.5</v>
      </c>
      <c r="C17">
        <v>0.75</v>
      </c>
      <c r="D17">
        <f t="shared" si="0"/>
        <v>3.7037037037037035E-2</v>
      </c>
      <c r="F17">
        <f t="shared" si="1"/>
        <v>0.45833333333333331</v>
      </c>
      <c r="G17">
        <v>0.45900000000000002</v>
      </c>
      <c r="I17">
        <v>7.6999999999999999E-2</v>
      </c>
    </row>
    <row r="18" spans="1:15" x14ac:dyDescent="0.25">
      <c r="G18">
        <f>SUM(G1:G17)</f>
        <v>35.132999999999996</v>
      </c>
      <c r="I18">
        <f>SUM(I1:I17)</f>
        <v>6.7399999999999993</v>
      </c>
    </row>
    <row r="22" spans="1:15" x14ac:dyDescent="0.25">
      <c r="A22">
        <v>5</v>
      </c>
      <c r="B22">
        <v>1.5</v>
      </c>
      <c r="C22">
        <v>1</v>
      </c>
      <c r="D22">
        <f>1/9</f>
        <v>0.1111111111111111</v>
      </c>
      <c r="F22">
        <f>A22*B22*C22*D22</f>
        <v>0.83333333333333326</v>
      </c>
      <c r="G22">
        <v>0.20899999999999999</v>
      </c>
      <c r="H22">
        <v>0.83399999999999996</v>
      </c>
      <c r="L22">
        <v>17</v>
      </c>
      <c r="M22">
        <v>2</v>
      </c>
      <c r="O22">
        <v>113</v>
      </c>
    </row>
    <row r="23" spans="1:15" x14ac:dyDescent="0.25">
      <c r="A23">
        <v>6</v>
      </c>
      <c r="B23">
        <v>1.5</v>
      </c>
      <c r="C23">
        <v>1</v>
      </c>
      <c r="D23">
        <f t="shared" ref="D23:D38" si="2">1/9</f>
        <v>0.1111111111111111</v>
      </c>
      <c r="F23">
        <f t="shared" ref="F23:F38" si="3">A23*B23*C23*D23</f>
        <v>1</v>
      </c>
      <c r="G23">
        <v>0.25</v>
      </c>
      <c r="H23">
        <v>1</v>
      </c>
      <c r="L23">
        <v>24</v>
      </c>
      <c r="M23">
        <v>4</v>
      </c>
      <c r="O23">
        <v>139</v>
      </c>
    </row>
    <row r="24" spans="1:15" x14ac:dyDescent="0.25">
      <c r="A24">
        <v>10</v>
      </c>
      <c r="B24">
        <v>1.5</v>
      </c>
      <c r="C24">
        <v>1</v>
      </c>
      <c r="D24">
        <f t="shared" si="2"/>
        <v>0.1111111111111111</v>
      </c>
      <c r="F24">
        <f t="shared" si="3"/>
        <v>1.6666666666666665</v>
      </c>
      <c r="G24">
        <v>0.41699999999999998</v>
      </c>
      <c r="H24">
        <v>1.667</v>
      </c>
      <c r="L24">
        <v>8</v>
      </c>
      <c r="M24">
        <v>1</v>
      </c>
      <c r="O24">
        <v>43</v>
      </c>
    </row>
    <row r="25" spans="1:15" x14ac:dyDescent="0.25">
      <c r="A25">
        <v>8</v>
      </c>
      <c r="B25">
        <v>1.5</v>
      </c>
      <c r="C25">
        <v>1</v>
      </c>
      <c r="D25">
        <f t="shared" si="2"/>
        <v>0.1111111111111111</v>
      </c>
      <c r="F25">
        <f t="shared" si="3"/>
        <v>1.3333333333333333</v>
      </c>
      <c r="G25">
        <v>0.33400000000000002</v>
      </c>
      <c r="H25">
        <v>1.3340000000000001</v>
      </c>
      <c r="L25">
        <v>37</v>
      </c>
      <c r="M25">
        <v>6</v>
      </c>
      <c r="O25">
        <v>77</v>
      </c>
    </row>
    <row r="26" spans="1:15" x14ac:dyDescent="0.25">
      <c r="A26">
        <v>252</v>
      </c>
      <c r="B26">
        <v>1.5</v>
      </c>
      <c r="C26">
        <v>1</v>
      </c>
      <c r="D26">
        <f t="shared" si="2"/>
        <v>0.1111111111111111</v>
      </c>
      <c r="F26">
        <f t="shared" si="3"/>
        <v>42</v>
      </c>
      <c r="G26">
        <v>10.5</v>
      </c>
      <c r="H26">
        <v>42</v>
      </c>
      <c r="L26">
        <v>25</v>
      </c>
      <c r="M26">
        <v>2</v>
      </c>
      <c r="O26">
        <v>31</v>
      </c>
    </row>
    <row r="27" spans="1:15" x14ac:dyDescent="0.25">
      <c r="A27">
        <v>11</v>
      </c>
      <c r="B27">
        <v>1.5</v>
      </c>
      <c r="C27">
        <v>1</v>
      </c>
      <c r="D27">
        <f t="shared" si="2"/>
        <v>0.1111111111111111</v>
      </c>
      <c r="F27">
        <f t="shared" si="3"/>
        <v>1.8333333333333333</v>
      </c>
      <c r="G27">
        <v>0.45900000000000002</v>
      </c>
      <c r="H27">
        <v>1.8340000000000001</v>
      </c>
      <c r="L27">
        <v>58</v>
      </c>
      <c r="M27">
        <v>24</v>
      </c>
      <c r="O27">
        <v>139</v>
      </c>
    </row>
    <row r="28" spans="1:15" x14ac:dyDescent="0.25">
      <c r="A28">
        <v>401</v>
      </c>
      <c r="B28">
        <v>1.5</v>
      </c>
      <c r="C28">
        <v>1</v>
      </c>
      <c r="D28">
        <f t="shared" si="2"/>
        <v>0.1111111111111111</v>
      </c>
      <c r="F28">
        <f t="shared" si="3"/>
        <v>66.833333333333329</v>
      </c>
      <c r="G28">
        <v>16.709</v>
      </c>
      <c r="H28">
        <v>66.834000000000003</v>
      </c>
      <c r="L28">
        <v>40</v>
      </c>
      <c r="M28">
        <v>4</v>
      </c>
      <c r="O28">
        <v>85</v>
      </c>
    </row>
    <row r="29" spans="1:15" x14ac:dyDescent="0.25">
      <c r="A29">
        <v>5</v>
      </c>
      <c r="B29">
        <v>1.5</v>
      </c>
      <c r="C29">
        <v>1</v>
      </c>
      <c r="D29">
        <f t="shared" si="2"/>
        <v>0.1111111111111111</v>
      </c>
      <c r="F29">
        <f t="shared" si="3"/>
        <v>0.83333333333333326</v>
      </c>
      <c r="G29">
        <v>0.20899999999999999</v>
      </c>
      <c r="H29">
        <v>0.83399999999999996</v>
      </c>
      <c r="L29">
        <v>5</v>
      </c>
      <c r="M29">
        <v>1</v>
      </c>
      <c r="N29">
        <v>141</v>
      </c>
      <c r="O29">
        <v>29</v>
      </c>
    </row>
    <row r="30" spans="1:15" x14ac:dyDescent="0.25">
      <c r="A30">
        <v>5</v>
      </c>
      <c r="B30">
        <v>1.5</v>
      </c>
      <c r="C30">
        <v>1</v>
      </c>
      <c r="D30">
        <f t="shared" si="2"/>
        <v>0.1111111111111111</v>
      </c>
      <c r="F30">
        <f t="shared" si="3"/>
        <v>0.83333333333333326</v>
      </c>
      <c r="G30">
        <v>0.20899999999999999</v>
      </c>
      <c r="H30">
        <v>0.83399999999999996</v>
      </c>
      <c r="L30">
        <v>20</v>
      </c>
      <c r="M30">
        <v>0</v>
      </c>
      <c r="N30">
        <v>0.1</v>
      </c>
      <c r="O30">
        <v>21</v>
      </c>
    </row>
    <row r="31" spans="1:15" x14ac:dyDescent="0.25">
      <c r="A31">
        <v>17</v>
      </c>
      <c r="B31">
        <v>1.5</v>
      </c>
      <c r="C31">
        <v>1</v>
      </c>
      <c r="D31">
        <f t="shared" si="2"/>
        <v>0.1111111111111111</v>
      </c>
      <c r="F31">
        <f t="shared" si="3"/>
        <v>2.833333333333333</v>
      </c>
      <c r="G31">
        <v>0.70899999999999996</v>
      </c>
      <c r="H31">
        <v>2.8340000000000001</v>
      </c>
      <c r="L31">
        <v>16</v>
      </c>
      <c r="M31">
        <v>5</v>
      </c>
      <c r="N31">
        <v>3</v>
      </c>
      <c r="O31">
        <v>24</v>
      </c>
    </row>
    <row r="32" spans="1:15" x14ac:dyDescent="0.25">
      <c r="A32">
        <v>60</v>
      </c>
      <c r="B32">
        <v>1.5</v>
      </c>
      <c r="C32">
        <v>1</v>
      </c>
      <c r="D32">
        <f t="shared" si="2"/>
        <v>0.1111111111111111</v>
      </c>
      <c r="F32">
        <f t="shared" si="3"/>
        <v>10</v>
      </c>
      <c r="G32">
        <v>2.5</v>
      </c>
      <c r="H32">
        <v>10</v>
      </c>
      <c r="L32">
        <v>14</v>
      </c>
      <c r="M32">
        <v>4</v>
      </c>
      <c r="N32">
        <f>N29*N30*N31</f>
        <v>42.300000000000004</v>
      </c>
      <c r="O32">
        <v>111</v>
      </c>
    </row>
    <row r="33" spans="1:15" x14ac:dyDescent="0.25">
      <c r="A33">
        <v>6</v>
      </c>
      <c r="B33">
        <v>1.5</v>
      </c>
      <c r="C33">
        <v>1</v>
      </c>
      <c r="D33">
        <f t="shared" si="2"/>
        <v>0.1111111111111111</v>
      </c>
      <c r="F33">
        <f t="shared" si="3"/>
        <v>1</v>
      </c>
      <c r="G33">
        <v>0.25</v>
      </c>
      <c r="H33">
        <v>1</v>
      </c>
      <c r="L33">
        <v>18</v>
      </c>
      <c r="M33">
        <v>1</v>
      </c>
      <c r="O33">
        <v>98</v>
      </c>
    </row>
    <row r="34" spans="1:15" x14ac:dyDescent="0.25">
      <c r="A34">
        <v>12</v>
      </c>
      <c r="B34">
        <v>1.5</v>
      </c>
      <c r="C34">
        <v>1</v>
      </c>
      <c r="D34">
        <f t="shared" si="2"/>
        <v>0.1111111111111111</v>
      </c>
      <c r="F34">
        <f t="shared" si="3"/>
        <v>2</v>
      </c>
      <c r="G34">
        <v>0.5</v>
      </c>
      <c r="H34">
        <v>2</v>
      </c>
      <c r="L34">
        <v>12</v>
      </c>
      <c r="M34">
        <v>4</v>
      </c>
      <c r="O34">
        <v>101</v>
      </c>
    </row>
    <row r="35" spans="1:15" x14ac:dyDescent="0.25">
      <c r="A35">
        <v>13.18</v>
      </c>
      <c r="B35">
        <v>1.5</v>
      </c>
      <c r="C35">
        <v>1</v>
      </c>
      <c r="D35">
        <f t="shared" si="2"/>
        <v>0.1111111111111111</v>
      </c>
      <c r="F35">
        <f t="shared" si="3"/>
        <v>2.1966666666666663</v>
      </c>
      <c r="G35">
        <v>0.55000000000000004</v>
      </c>
      <c r="H35">
        <v>2.1970000000000001</v>
      </c>
      <c r="L35">
        <f>SUM(L22:L34)</f>
        <v>294</v>
      </c>
      <c r="M35">
        <f>SUM(M22:M34)</f>
        <v>58</v>
      </c>
      <c r="O35">
        <f>SUM(O22:O34)</f>
        <v>1011</v>
      </c>
    </row>
    <row r="36" spans="1:15" x14ac:dyDescent="0.25">
      <c r="A36">
        <v>9.82</v>
      </c>
      <c r="B36">
        <v>1.5</v>
      </c>
      <c r="C36">
        <v>1</v>
      </c>
      <c r="D36">
        <f t="shared" si="2"/>
        <v>0.1111111111111111</v>
      </c>
      <c r="F36">
        <f t="shared" si="3"/>
        <v>1.6366666666666667</v>
      </c>
      <c r="G36">
        <v>0.41</v>
      </c>
      <c r="H36">
        <v>1.637</v>
      </c>
    </row>
    <row r="37" spans="1:15" x14ac:dyDescent="0.25">
      <c r="A37">
        <v>11</v>
      </c>
      <c r="B37">
        <v>1.5</v>
      </c>
      <c r="C37">
        <v>1</v>
      </c>
      <c r="D37">
        <f t="shared" si="2"/>
        <v>0.1111111111111111</v>
      </c>
      <c r="F37">
        <f t="shared" si="3"/>
        <v>1.8333333333333333</v>
      </c>
      <c r="G37">
        <v>0.45900000000000002</v>
      </c>
      <c r="H37">
        <v>1.8340000000000001</v>
      </c>
    </row>
    <row r="38" spans="1:15" x14ac:dyDescent="0.25">
      <c r="A38">
        <v>11</v>
      </c>
      <c r="B38">
        <v>1.5</v>
      </c>
      <c r="C38">
        <v>1</v>
      </c>
      <c r="D38">
        <f t="shared" si="2"/>
        <v>0.1111111111111111</v>
      </c>
      <c r="F38">
        <f t="shared" si="3"/>
        <v>1.8333333333333333</v>
      </c>
      <c r="G38">
        <v>0.45900000000000002</v>
      </c>
      <c r="H38">
        <v>1.8340000000000001</v>
      </c>
    </row>
    <row r="39" spans="1:15" x14ac:dyDescent="0.25">
      <c r="G39">
        <f>SUM(G22:G38)</f>
        <v>35.132999999999996</v>
      </c>
      <c r="H39">
        <f>SUM(H22:H38)</f>
        <v>140.50700000000003</v>
      </c>
    </row>
    <row r="47" spans="1:15" x14ac:dyDescent="0.25">
      <c r="B47" t="s">
        <v>25</v>
      </c>
      <c r="C47" t="s">
        <v>26</v>
      </c>
      <c r="D47" t="s">
        <v>27</v>
      </c>
    </row>
    <row r="48" spans="1:15" x14ac:dyDescent="0.25">
      <c r="A48" t="s">
        <v>10</v>
      </c>
      <c r="B48">
        <v>5.48</v>
      </c>
      <c r="C48">
        <v>13.44</v>
      </c>
      <c r="D48">
        <v>20.87</v>
      </c>
    </row>
    <row r="49" spans="1:6" x14ac:dyDescent="0.25">
      <c r="A49" t="s">
        <v>9</v>
      </c>
      <c r="B49">
        <v>5.48</v>
      </c>
      <c r="C49">
        <v>13.44</v>
      </c>
      <c r="D49">
        <v>20.66</v>
      </c>
    </row>
    <row r="50" spans="1:6" x14ac:dyDescent="0.25">
      <c r="A50" t="s">
        <v>8</v>
      </c>
      <c r="B50">
        <v>5.48</v>
      </c>
      <c r="C50">
        <v>13.44</v>
      </c>
      <c r="D50">
        <v>20.64</v>
      </c>
    </row>
    <row r="51" spans="1:6" x14ac:dyDescent="0.25">
      <c r="A51" t="s">
        <v>7</v>
      </c>
      <c r="B51">
        <v>5.48</v>
      </c>
      <c r="C51">
        <v>13.38</v>
      </c>
    </row>
    <row r="52" spans="1:6" x14ac:dyDescent="0.25">
      <c r="A52" t="s">
        <v>6</v>
      </c>
      <c r="B52">
        <v>5.48</v>
      </c>
      <c r="C52">
        <v>13.23</v>
      </c>
    </row>
    <row r="53" spans="1:6" x14ac:dyDescent="0.25">
      <c r="A53" s="1" t="s">
        <v>0</v>
      </c>
      <c r="B53" s="1">
        <v>5.48</v>
      </c>
      <c r="C53" s="1">
        <v>13.11</v>
      </c>
      <c r="D53" s="1">
        <v>20.033000000000001</v>
      </c>
      <c r="E53" s="1"/>
      <c r="F53" s="1"/>
    </row>
    <row r="54" spans="1:6" x14ac:dyDescent="0.25">
      <c r="A54" s="1" t="s">
        <v>1</v>
      </c>
      <c r="B54" s="1">
        <v>5.48</v>
      </c>
      <c r="C54" s="1">
        <v>12.98</v>
      </c>
      <c r="D54" s="1">
        <v>19.010000000000002</v>
      </c>
      <c r="E54" s="1"/>
      <c r="F54" s="1"/>
    </row>
    <row r="55" spans="1:6" x14ac:dyDescent="0.25">
      <c r="A55" t="s">
        <v>2</v>
      </c>
      <c r="B55">
        <v>5.48</v>
      </c>
      <c r="C55">
        <v>12.86</v>
      </c>
      <c r="D55">
        <v>17.7</v>
      </c>
    </row>
    <row r="56" spans="1:6" x14ac:dyDescent="0.25">
      <c r="A56" t="s">
        <v>3</v>
      </c>
      <c r="B56">
        <v>5.48</v>
      </c>
      <c r="C56">
        <v>12.73</v>
      </c>
      <c r="D56">
        <v>16.399999999999999</v>
      </c>
    </row>
    <row r="57" spans="1:6" x14ac:dyDescent="0.25">
      <c r="A57" t="s">
        <v>4</v>
      </c>
      <c r="B57">
        <v>5.48</v>
      </c>
      <c r="C57">
        <v>12.6</v>
      </c>
      <c r="D57">
        <v>15.91</v>
      </c>
    </row>
    <row r="58" spans="1:6" x14ac:dyDescent="0.25">
      <c r="A58" t="s">
        <v>5</v>
      </c>
      <c r="B58">
        <v>5.48</v>
      </c>
      <c r="C58">
        <v>12.63</v>
      </c>
      <c r="D58">
        <v>15.57</v>
      </c>
    </row>
    <row r="59" spans="1:6" x14ac:dyDescent="0.25">
      <c r="A59" t="s">
        <v>11</v>
      </c>
      <c r="B59">
        <v>5.48</v>
      </c>
      <c r="C59">
        <v>12.78</v>
      </c>
      <c r="D59">
        <v>15.453099999999999</v>
      </c>
    </row>
    <row r="60" spans="1:6" x14ac:dyDescent="0.25">
      <c r="A60" t="s">
        <v>12</v>
      </c>
      <c r="B60">
        <v>5.48</v>
      </c>
      <c r="C60">
        <v>12.89</v>
      </c>
      <c r="D60">
        <v>15.37</v>
      </c>
    </row>
    <row r="61" spans="1:6" x14ac:dyDescent="0.25">
      <c r="A61" t="s">
        <v>13</v>
      </c>
      <c r="B61">
        <v>5.48</v>
      </c>
      <c r="C61">
        <v>13</v>
      </c>
      <c r="D61">
        <v>15.31</v>
      </c>
    </row>
    <row r="62" spans="1:6" x14ac:dyDescent="0.25">
      <c r="A62" t="s">
        <v>14</v>
      </c>
      <c r="B62">
        <v>5.48</v>
      </c>
      <c r="C62">
        <v>13.11</v>
      </c>
      <c r="D62">
        <v>14.91</v>
      </c>
    </row>
    <row r="63" spans="1:6" s="1" customFormat="1" x14ac:dyDescent="0.25">
      <c r="A63" s="1" t="s">
        <v>15</v>
      </c>
      <c r="B63" s="1">
        <v>5.0049999999999999</v>
      </c>
      <c r="C63" s="1">
        <v>13.1</v>
      </c>
      <c r="D63" s="1">
        <v>14.2</v>
      </c>
    </row>
    <row r="64" spans="1:6" x14ac:dyDescent="0.25">
      <c r="A64" t="s">
        <v>16</v>
      </c>
      <c r="B64">
        <v>4.53</v>
      </c>
      <c r="C64">
        <v>13.15</v>
      </c>
      <c r="D64">
        <v>14.37</v>
      </c>
    </row>
    <row r="65" spans="1:6" x14ac:dyDescent="0.25">
      <c r="A65" t="s">
        <v>17</v>
      </c>
      <c r="B65">
        <v>4.05</v>
      </c>
      <c r="C65">
        <v>13.21</v>
      </c>
      <c r="D65">
        <v>14.41</v>
      </c>
    </row>
    <row r="66" spans="1:6" x14ac:dyDescent="0.25">
      <c r="A66" t="s">
        <v>18</v>
      </c>
      <c r="B66">
        <v>3.58</v>
      </c>
      <c r="C66">
        <v>13.2722</v>
      </c>
      <c r="D66">
        <v>14.22</v>
      </c>
    </row>
    <row r="67" spans="1:6" x14ac:dyDescent="0.25">
      <c r="A67" t="s">
        <v>19</v>
      </c>
      <c r="B67">
        <v>3.45</v>
      </c>
      <c r="C67">
        <v>13.28</v>
      </c>
      <c r="D67">
        <v>14.19</v>
      </c>
    </row>
    <row r="68" spans="1:6" x14ac:dyDescent="0.25">
      <c r="A68" t="s">
        <v>20</v>
      </c>
      <c r="B68">
        <v>3.1</v>
      </c>
      <c r="C68">
        <v>8.7530000000000001</v>
      </c>
      <c r="D68">
        <v>13.85</v>
      </c>
    </row>
    <row r="69" spans="1:6" x14ac:dyDescent="0.25">
      <c r="A69" t="s">
        <v>21</v>
      </c>
      <c r="B69">
        <v>2.6295999999999999</v>
      </c>
      <c r="C69">
        <v>2.14</v>
      </c>
      <c r="D69">
        <v>13.89</v>
      </c>
    </row>
    <row r="70" spans="1:6" x14ac:dyDescent="0.25">
      <c r="A70" t="s">
        <v>22</v>
      </c>
      <c r="B70">
        <v>2.8260000000000001</v>
      </c>
      <c r="C70">
        <v>-4.5599999999999996</v>
      </c>
      <c r="D70">
        <v>13.68</v>
      </c>
    </row>
    <row r="71" spans="1:6" x14ac:dyDescent="0.25">
      <c r="A71" t="s">
        <v>23</v>
      </c>
      <c r="B71">
        <v>3.1</v>
      </c>
      <c r="D71">
        <v>13.89</v>
      </c>
    </row>
    <row r="72" spans="1:6" x14ac:dyDescent="0.25">
      <c r="A72" t="s">
        <v>24</v>
      </c>
      <c r="B72">
        <v>3.29</v>
      </c>
      <c r="D72">
        <v>14.04</v>
      </c>
      <c r="F72" t="s">
        <v>28</v>
      </c>
    </row>
    <row r="77" spans="1:6" x14ac:dyDescent="0.25">
      <c r="A77" t="s">
        <v>29</v>
      </c>
      <c r="B77">
        <v>19.850000000000001</v>
      </c>
    </row>
    <row r="78" spans="1:6" x14ac:dyDescent="0.25">
      <c r="A78" t="s">
        <v>30</v>
      </c>
      <c r="B78">
        <v>19.97</v>
      </c>
    </row>
    <row r="79" spans="1:6" x14ac:dyDescent="0.25">
      <c r="A79" t="s">
        <v>31</v>
      </c>
      <c r="B79">
        <v>20.09</v>
      </c>
    </row>
    <row r="80" spans="1:6" x14ac:dyDescent="0.25">
      <c r="A80" t="s">
        <v>32</v>
      </c>
      <c r="B80">
        <v>20.21</v>
      </c>
    </row>
    <row r="81" spans="1:18" x14ac:dyDescent="0.25">
      <c r="A81" t="s">
        <v>33</v>
      </c>
      <c r="B81">
        <v>21.84</v>
      </c>
    </row>
    <row r="82" spans="1:18" x14ac:dyDescent="0.25">
      <c r="A82" t="s">
        <v>34</v>
      </c>
      <c r="B82">
        <v>23.91</v>
      </c>
    </row>
    <row r="83" spans="1:18" x14ac:dyDescent="0.25">
      <c r="A83" t="s">
        <v>35</v>
      </c>
      <c r="B83">
        <v>25.41</v>
      </c>
    </row>
    <row r="85" spans="1:18" x14ac:dyDescent="0.25">
      <c r="A85" t="s">
        <v>44</v>
      </c>
      <c r="C85" t="s">
        <v>26</v>
      </c>
    </row>
    <row r="86" spans="1:18" x14ac:dyDescent="0.25">
      <c r="C86" t="s">
        <v>42</v>
      </c>
      <c r="D86" t="s">
        <v>43</v>
      </c>
    </row>
    <row r="87" spans="1:18" x14ac:dyDescent="0.25">
      <c r="A87" t="s">
        <v>36</v>
      </c>
      <c r="B87" t="s">
        <v>37</v>
      </c>
      <c r="C87">
        <v>1093.4670000000001</v>
      </c>
      <c r="D87">
        <v>1091.7260000000001</v>
      </c>
      <c r="F87">
        <f>C87-G87</f>
        <v>1091.797</v>
      </c>
      <c r="G87">
        <v>1.67</v>
      </c>
      <c r="I87">
        <v>4</v>
      </c>
      <c r="J87">
        <v>1.7969999999999999</v>
      </c>
      <c r="K87">
        <f>I87*J87</f>
        <v>7.1879999999999997</v>
      </c>
      <c r="P87">
        <v>3.4670000000000001</v>
      </c>
      <c r="Q87">
        <v>4</v>
      </c>
      <c r="R87">
        <f>P87*Q87</f>
        <v>13.868</v>
      </c>
    </row>
    <row r="88" spans="1:18" x14ac:dyDescent="0.25">
      <c r="A88" t="s">
        <v>38</v>
      </c>
      <c r="B88" t="s">
        <v>39</v>
      </c>
      <c r="C88">
        <v>1093.3209999999999</v>
      </c>
      <c r="F88">
        <f t="shared" ref="F88:F92" si="4">C88-G88</f>
        <v>1090.6509999999998</v>
      </c>
      <c r="G88">
        <v>2.67</v>
      </c>
      <c r="I88">
        <v>4</v>
      </c>
      <c r="J88">
        <v>0.65100000000000002</v>
      </c>
      <c r="K88">
        <f t="shared" ref="K88:K92" si="5">I88*J88</f>
        <v>2.6040000000000001</v>
      </c>
      <c r="P88">
        <v>3.3210000000000002</v>
      </c>
      <c r="Q88">
        <v>4</v>
      </c>
      <c r="R88">
        <f t="shared" ref="R88:R92" si="6">P88*Q88</f>
        <v>13.284000000000001</v>
      </c>
    </row>
    <row r="89" spans="1:18" x14ac:dyDescent="0.25">
      <c r="A89" t="s">
        <v>40</v>
      </c>
      <c r="B89" t="s">
        <v>41</v>
      </c>
      <c r="C89">
        <v>1092.4380000000001</v>
      </c>
      <c r="F89">
        <f t="shared" si="4"/>
        <v>1090.1880000000001</v>
      </c>
      <c r="G89">
        <v>2.25</v>
      </c>
      <c r="I89">
        <v>4</v>
      </c>
      <c r="J89">
        <v>0.188</v>
      </c>
      <c r="K89">
        <f t="shared" si="5"/>
        <v>0.752</v>
      </c>
      <c r="P89">
        <v>2.4380000000000002</v>
      </c>
      <c r="Q89">
        <v>4</v>
      </c>
      <c r="R89">
        <f t="shared" si="6"/>
        <v>9.7520000000000007</v>
      </c>
    </row>
    <row r="90" spans="1:18" x14ac:dyDescent="0.25">
      <c r="F90">
        <f t="shared" si="4"/>
        <v>-2.16</v>
      </c>
      <c r="G90">
        <v>2.16</v>
      </c>
      <c r="I90">
        <v>4</v>
      </c>
      <c r="J90">
        <v>4.7060000000000004</v>
      </c>
      <c r="K90">
        <f t="shared" si="5"/>
        <v>18.824000000000002</v>
      </c>
      <c r="R90">
        <f t="shared" si="6"/>
        <v>0</v>
      </c>
    </row>
    <row r="91" spans="1:18" x14ac:dyDescent="0.25">
      <c r="A91" t="s">
        <v>45</v>
      </c>
      <c r="C91">
        <v>1091.866</v>
      </c>
      <c r="F91">
        <f t="shared" si="4"/>
        <v>1089.0360000000001</v>
      </c>
      <c r="G91">
        <v>2.83</v>
      </c>
      <c r="I91">
        <v>4</v>
      </c>
      <c r="J91">
        <v>4.0359999999999996</v>
      </c>
      <c r="K91">
        <f t="shared" si="5"/>
        <v>16.143999999999998</v>
      </c>
      <c r="P91">
        <v>1.8660000000000001</v>
      </c>
      <c r="Q91">
        <v>4</v>
      </c>
      <c r="R91">
        <f t="shared" si="6"/>
        <v>7.4640000000000004</v>
      </c>
    </row>
    <row r="92" spans="1:18" x14ac:dyDescent="0.25">
      <c r="A92" t="s">
        <v>46</v>
      </c>
      <c r="C92">
        <v>1090.8710000000001</v>
      </c>
      <c r="F92">
        <f t="shared" si="4"/>
        <v>1088.1210000000001</v>
      </c>
      <c r="G92">
        <v>2.75</v>
      </c>
      <c r="H92">
        <v>6.67</v>
      </c>
      <c r="I92">
        <v>4</v>
      </c>
      <c r="J92">
        <v>3.121</v>
      </c>
      <c r="K92">
        <f t="shared" si="5"/>
        <v>12.484</v>
      </c>
      <c r="L92">
        <f>C92-H92</f>
        <v>1084.201</v>
      </c>
      <c r="M92">
        <v>4.2009999999999996</v>
      </c>
      <c r="N92">
        <v>4</v>
      </c>
      <c r="O92">
        <f>M92*N92</f>
        <v>16.803999999999998</v>
      </c>
      <c r="P92">
        <v>0.871</v>
      </c>
      <c r="Q92">
        <v>4</v>
      </c>
      <c r="R92">
        <f t="shared" si="6"/>
        <v>3.484</v>
      </c>
    </row>
    <row r="95" spans="1:18" x14ac:dyDescent="0.25">
      <c r="A95">
        <v>985.27</v>
      </c>
    </row>
    <row r="96" spans="1:18" x14ac:dyDescent="0.25">
      <c r="B96">
        <f>A97-A95</f>
        <v>175.15000000000009</v>
      </c>
      <c r="C96">
        <f>F87-F88</f>
        <v>1.1460000000001855</v>
      </c>
      <c r="D96">
        <f>C96/B96</f>
        <v>6.5429631744229801E-3</v>
      </c>
    </row>
    <row r="97" spans="1:8" x14ac:dyDescent="0.25">
      <c r="A97">
        <v>1160.42</v>
      </c>
    </row>
    <row r="98" spans="1:8" x14ac:dyDescent="0.25">
      <c r="B98">
        <f>A99-A97</f>
        <v>79.149999999999864</v>
      </c>
      <c r="C98">
        <f>F88-F89</f>
        <v>0.46299999999973807</v>
      </c>
      <c r="D98">
        <f>C98/B98</f>
        <v>5.8496525584300551E-3</v>
      </c>
    </row>
    <row r="99" spans="1:8" x14ac:dyDescent="0.25">
      <c r="A99">
        <v>1239.57</v>
      </c>
    </row>
    <row r="100" spans="1:8" x14ac:dyDescent="0.25">
      <c r="B100">
        <f>A101-A99</f>
        <v>115.20000000000005</v>
      </c>
      <c r="C100">
        <f>F89-F91</f>
        <v>1.1520000000000437</v>
      </c>
      <c r="D100">
        <f>C100/B100</f>
        <v>1.0000000000000375E-2</v>
      </c>
    </row>
    <row r="101" spans="1:8" x14ac:dyDescent="0.25">
      <c r="A101">
        <v>1354.77</v>
      </c>
    </row>
    <row r="102" spans="1:8" x14ac:dyDescent="0.25">
      <c r="B102">
        <f>A103-A101</f>
        <v>71.700000000000045</v>
      </c>
      <c r="C102">
        <f>F91-F92</f>
        <v>0.91499999999996362</v>
      </c>
      <c r="D102">
        <f>C102/B102</f>
        <v>1.2761506276150112E-2</v>
      </c>
    </row>
    <row r="103" spans="1:8" x14ac:dyDescent="0.25">
      <c r="A103">
        <v>1426.47</v>
      </c>
    </row>
    <row r="105" spans="1:8" x14ac:dyDescent="0.25">
      <c r="A105" t="s">
        <v>36</v>
      </c>
      <c r="B105">
        <v>1091.797</v>
      </c>
      <c r="F105">
        <f>25*D96</f>
        <v>0.1635740793605745</v>
      </c>
      <c r="G105">
        <f>100-85.27</f>
        <v>14.730000000000004</v>
      </c>
      <c r="H105">
        <f>G105*D96</f>
        <v>9.6377847559250523E-2</v>
      </c>
    </row>
    <row r="106" spans="1:8" x14ac:dyDescent="0.25">
      <c r="A106" t="s">
        <v>47</v>
      </c>
      <c r="B106">
        <f>B105-H105</f>
        <v>1091.7006221524407</v>
      </c>
    </row>
    <row r="107" spans="1:8" x14ac:dyDescent="0.25">
      <c r="A107" t="s">
        <v>48</v>
      </c>
      <c r="B107">
        <f>B106-F105</f>
        <v>1091.5370480730801</v>
      </c>
    </row>
    <row r="108" spans="1:8" x14ac:dyDescent="0.25">
      <c r="A108" t="s">
        <v>0</v>
      </c>
      <c r="B108">
        <f>B107-F105</f>
        <v>1091.3734739937195</v>
      </c>
    </row>
    <row r="109" spans="1:8" x14ac:dyDescent="0.25">
      <c r="A109" t="s">
        <v>1</v>
      </c>
      <c r="B109">
        <f>B108-F105</f>
        <v>1091.2098999143589</v>
      </c>
    </row>
    <row r="110" spans="1:8" x14ac:dyDescent="0.25">
      <c r="A110" t="s">
        <v>2</v>
      </c>
      <c r="B110">
        <f>B109-F105</f>
        <v>1091.0463258349982</v>
      </c>
    </row>
    <row r="111" spans="1:8" x14ac:dyDescent="0.25">
      <c r="A111" t="s">
        <v>3</v>
      </c>
      <c r="B111">
        <f>B110-F105</f>
        <v>1090.8827517556376</v>
      </c>
    </row>
    <row r="112" spans="1:8" x14ac:dyDescent="0.25">
      <c r="A112" t="s">
        <v>4</v>
      </c>
      <c r="B112">
        <f>B111-F105</f>
        <v>1090.719177676277</v>
      </c>
    </row>
    <row r="113" spans="1:9" x14ac:dyDescent="0.25">
      <c r="A113" t="s">
        <v>38</v>
      </c>
      <c r="B113">
        <v>1090.6510000000001</v>
      </c>
      <c r="F113">
        <f>25*D98</f>
        <v>0.14624131396075138</v>
      </c>
      <c r="G113">
        <f>75-60.42</f>
        <v>14.579999999999998</v>
      </c>
      <c r="H113">
        <f>G113*D98</f>
        <v>8.5287934301910187E-2</v>
      </c>
    </row>
    <row r="114" spans="1:9" x14ac:dyDescent="0.25">
      <c r="A114" t="s">
        <v>5</v>
      </c>
      <c r="B114">
        <f>B113-H113</f>
        <v>1090.5657120656981</v>
      </c>
    </row>
    <row r="115" spans="1:9" x14ac:dyDescent="0.25">
      <c r="A115" t="s">
        <v>11</v>
      </c>
      <c r="B115">
        <f>B114-F113</f>
        <v>1090.4194707517374</v>
      </c>
    </row>
    <row r="116" spans="1:9" x14ac:dyDescent="0.25">
      <c r="A116" t="s">
        <v>49</v>
      </c>
      <c r="B116">
        <f>B115-F113</f>
        <v>1090.2732294377768</v>
      </c>
    </row>
    <row r="117" spans="1:9" x14ac:dyDescent="0.25">
      <c r="A117" t="s">
        <v>40</v>
      </c>
      <c r="B117">
        <v>1090.1880000000001</v>
      </c>
      <c r="F117">
        <f>25*D100</f>
        <v>0.25000000000000938</v>
      </c>
      <c r="G117">
        <v>10.43</v>
      </c>
      <c r="H117">
        <f>G117*D100</f>
        <v>0.1043000000000039</v>
      </c>
    </row>
    <row r="118" spans="1:9" x14ac:dyDescent="0.25">
      <c r="A118" t="s">
        <v>14</v>
      </c>
      <c r="B118">
        <f>B117-H117</f>
        <v>1090.0837000000001</v>
      </c>
    </row>
    <row r="119" spans="1:9" x14ac:dyDescent="0.25">
      <c r="A119" t="s">
        <v>15</v>
      </c>
      <c r="B119">
        <f>B118-F117</f>
        <v>1089.8337000000001</v>
      </c>
    </row>
    <row r="120" spans="1:9" x14ac:dyDescent="0.25">
      <c r="A120" t="s">
        <v>16</v>
      </c>
      <c r="B120">
        <f>B119-F117</f>
        <v>1089.5837000000001</v>
      </c>
    </row>
    <row r="121" spans="1:9" x14ac:dyDescent="0.25">
      <c r="A121" t="s">
        <v>17</v>
      </c>
      <c r="B121">
        <f>B120-F117</f>
        <v>1089.3337000000001</v>
      </c>
    </row>
    <row r="122" spans="1:9" x14ac:dyDescent="0.25">
      <c r="A122" t="s">
        <v>18</v>
      </c>
      <c r="B122">
        <f>B121-F117</f>
        <v>1089.0837000000001</v>
      </c>
    </row>
    <row r="123" spans="1:9" x14ac:dyDescent="0.25">
      <c r="A123" t="s">
        <v>45</v>
      </c>
      <c r="B123">
        <v>1089.0360000000001</v>
      </c>
      <c r="F123">
        <f>75-54.77</f>
        <v>20.229999999999997</v>
      </c>
      <c r="G123">
        <f>F123*D102</f>
        <v>0.25816527196651673</v>
      </c>
      <c r="H123">
        <v>25</v>
      </c>
      <c r="I123">
        <f>H123*D102</f>
        <v>0.3190376569037528</v>
      </c>
    </row>
    <row r="124" spans="1:9" x14ac:dyDescent="0.25">
      <c r="A124" t="s">
        <v>50</v>
      </c>
      <c r="B124">
        <f>B123-G123</f>
        <v>1088.7778347280334</v>
      </c>
    </row>
    <row r="125" spans="1:9" x14ac:dyDescent="0.25">
      <c r="A125" t="s">
        <v>21</v>
      </c>
      <c r="B125">
        <f>B124-I123</f>
        <v>1088.4587970711298</v>
      </c>
    </row>
    <row r="126" spans="1:9" x14ac:dyDescent="0.25">
      <c r="A126" t="s">
        <v>22</v>
      </c>
      <c r="B126">
        <v>1084.201</v>
      </c>
      <c r="C126">
        <v>1088.1210000000001</v>
      </c>
    </row>
    <row r="129" spans="1:15" x14ac:dyDescent="0.25">
      <c r="A129" t="s">
        <v>52</v>
      </c>
      <c r="B129">
        <v>19.850000000000001</v>
      </c>
    </row>
    <row r="130" spans="1:15" x14ac:dyDescent="0.25">
      <c r="A130" t="s">
        <v>53</v>
      </c>
      <c r="C130">
        <v>1082.56</v>
      </c>
      <c r="H130">
        <v>1084.3032000000001</v>
      </c>
      <c r="I130">
        <v>1083.72</v>
      </c>
      <c r="J130">
        <f>I130-1.16</f>
        <v>1082.56</v>
      </c>
      <c r="L130">
        <v>1084.3</v>
      </c>
      <c r="M130">
        <v>1081.8</v>
      </c>
    </row>
    <row r="131" spans="1:15" x14ac:dyDescent="0.25">
      <c r="A131" t="s">
        <v>29</v>
      </c>
      <c r="B131">
        <v>19.850000000000001</v>
      </c>
      <c r="C131">
        <f>C130+D131</f>
        <v>1082.588472330362</v>
      </c>
      <c r="D131">
        <f>F131*J132</f>
        <v>2.8472330362026236E-2</v>
      </c>
      <c r="F131">
        <f>250-227.956</f>
        <v>22.044000000000011</v>
      </c>
      <c r="O131">
        <v>109.94</v>
      </c>
    </row>
    <row r="132" spans="1:15" x14ac:dyDescent="0.25">
      <c r="A132" t="s">
        <v>30</v>
      </c>
      <c r="B132">
        <v>19.97</v>
      </c>
      <c r="C132">
        <f>C131+D132</f>
        <v>1082.6207626705475</v>
      </c>
      <c r="D132">
        <f>25*J132</f>
        <v>3.2290340185567749E-2</v>
      </c>
      <c r="I132">
        <f>J135-J130</f>
        <v>0.14200000000005275</v>
      </c>
      <c r="J132">
        <f>I132/O131</f>
        <v>1.2916136074227101E-3</v>
      </c>
    </row>
    <row r="133" spans="1:15" x14ac:dyDescent="0.25">
      <c r="A133" t="s">
        <v>31</v>
      </c>
      <c r="B133">
        <v>20.09</v>
      </c>
      <c r="C133">
        <f>C132+D132</f>
        <v>1082.6530530107329</v>
      </c>
    </row>
    <row r="134" spans="1:15" x14ac:dyDescent="0.25">
      <c r="A134" t="s">
        <v>32</v>
      </c>
      <c r="B134">
        <v>20.21</v>
      </c>
      <c r="C134">
        <f>C133+D132</f>
        <v>1082.6853433509184</v>
      </c>
    </row>
    <row r="135" spans="1:15" x14ac:dyDescent="0.25">
      <c r="A135" t="s">
        <v>54</v>
      </c>
      <c r="C135">
        <v>1082.7</v>
      </c>
      <c r="I135">
        <v>1084.0319999999999</v>
      </c>
      <c r="J135">
        <f>I135-1.33</f>
        <v>1082.702</v>
      </c>
      <c r="L135">
        <v>1084.29</v>
      </c>
      <c r="M135">
        <v>1082.82</v>
      </c>
    </row>
    <row r="136" spans="1:15" x14ac:dyDescent="0.25">
      <c r="A136" t="s">
        <v>33</v>
      </c>
      <c r="B136">
        <v>21.84</v>
      </c>
      <c r="C136">
        <f>C135-D136</f>
        <v>1081.7127166441282</v>
      </c>
      <c r="D136">
        <f>F136*J136</f>
        <v>0.98728335587190141</v>
      </c>
      <c r="F136">
        <f>350-330.574</f>
        <v>19.425999999999988</v>
      </c>
      <c r="I136">
        <f>J135-J138</f>
        <v>3.4349999999999454</v>
      </c>
      <c r="J136">
        <f>I136/O136</f>
        <v>5.082278162626902E-2</v>
      </c>
      <c r="O136">
        <v>67.587800000000001</v>
      </c>
    </row>
    <row r="137" spans="1:15" x14ac:dyDescent="0.25">
      <c r="A137" t="s">
        <v>34</v>
      </c>
      <c r="B137">
        <v>23.91</v>
      </c>
      <c r="C137">
        <f>C136-D137</f>
        <v>1080.4421471034716</v>
      </c>
      <c r="D137">
        <f>25*J136</f>
        <v>1.2705695406567254</v>
      </c>
    </row>
    <row r="138" spans="1:15" x14ac:dyDescent="0.25">
      <c r="A138" t="s">
        <v>55</v>
      </c>
      <c r="C138">
        <v>1079.27</v>
      </c>
      <c r="I138">
        <v>1084.2670000000001</v>
      </c>
      <c r="J138">
        <f>I138-5</f>
        <v>1079.2670000000001</v>
      </c>
      <c r="L138">
        <v>1084.3599999999999</v>
      </c>
      <c r="M138">
        <v>1079.3699999999999</v>
      </c>
    </row>
    <row r="140" spans="1:15" x14ac:dyDescent="0.25">
      <c r="O140">
        <v>134.22929999999999</v>
      </c>
    </row>
    <row r="141" spans="1:15" x14ac:dyDescent="0.25">
      <c r="A141" t="s">
        <v>56</v>
      </c>
    </row>
    <row r="142" spans="1:15" x14ac:dyDescent="0.25">
      <c r="A142" t="s">
        <v>57</v>
      </c>
      <c r="B142">
        <v>20.84</v>
      </c>
    </row>
    <row r="143" spans="1:15" x14ac:dyDescent="0.25">
      <c r="A143" t="s">
        <v>58</v>
      </c>
      <c r="B143">
        <v>24</v>
      </c>
    </row>
    <row r="144" spans="1:15" x14ac:dyDescent="0.25">
      <c r="A144" t="s">
        <v>59</v>
      </c>
      <c r="B144">
        <v>27.279800000000002</v>
      </c>
      <c r="O144">
        <v>23.24</v>
      </c>
    </row>
    <row r="145" spans="1:19" x14ac:dyDescent="0.25">
      <c r="A145" t="s">
        <v>60</v>
      </c>
      <c r="B145">
        <v>23.917000000000002</v>
      </c>
    </row>
    <row r="146" spans="1:19" x14ac:dyDescent="0.25">
      <c r="A146" t="s">
        <v>61</v>
      </c>
      <c r="B146">
        <v>17.541799999999999</v>
      </c>
    </row>
    <row r="147" spans="1:19" x14ac:dyDescent="0.25">
      <c r="A147" t="s">
        <v>62</v>
      </c>
    </row>
    <row r="150" spans="1:19" x14ac:dyDescent="0.25">
      <c r="Q150">
        <f>7.7378/4</f>
        <v>1.93445</v>
      </c>
    </row>
    <row r="151" spans="1:19" x14ac:dyDescent="0.25">
      <c r="Q151">
        <f>7.9402/4</f>
        <v>1.98505</v>
      </c>
    </row>
    <row r="153" spans="1:19" x14ac:dyDescent="0.25">
      <c r="A153">
        <f>100-4.2052</f>
        <v>95.794799999999995</v>
      </c>
    </row>
    <row r="154" spans="1:19" x14ac:dyDescent="0.25">
      <c r="A154" t="s">
        <v>73</v>
      </c>
      <c r="B154">
        <v>1085.6099999999999</v>
      </c>
      <c r="C154">
        <f>B154+F156</f>
        <v>1085.7035999999998</v>
      </c>
      <c r="D154">
        <f>0.7036*4</f>
        <v>2.8144</v>
      </c>
      <c r="Q154">
        <f>2.21*O157</f>
        <v>0.1499385150320913</v>
      </c>
    </row>
    <row r="155" spans="1:19" x14ac:dyDescent="0.25">
      <c r="B155" t="s">
        <v>68</v>
      </c>
      <c r="C155" t="s">
        <v>69</v>
      </c>
      <c r="P155">
        <f>25-22.35</f>
        <v>2.6499999999999986</v>
      </c>
      <c r="Q155">
        <f>P155*O165</f>
        <v>-5.1813330477700807E-2</v>
      </c>
      <c r="R155">
        <f>1085.92+0.05181</f>
        <v>1085.97181</v>
      </c>
    </row>
    <row r="156" spans="1:19" x14ac:dyDescent="0.25">
      <c r="A156" t="s">
        <v>63</v>
      </c>
      <c r="F156">
        <f>6*0.0156</f>
        <v>9.3599999999999989E-2</v>
      </c>
      <c r="M156" t="s">
        <v>74</v>
      </c>
      <c r="N156">
        <v>1085.7036000000001</v>
      </c>
      <c r="R156" t="s">
        <v>63</v>
      </c>
      <c r="S156">
        <f>N156-Q154</f>
        <v>1085.553661484968</v>
      </c>
    </row>
    <row r="157" spans="1:19" x14ac:dyDescent="0.25">
      <c r="A157" t="s">
        <v>64</v>
      </c>
      <c r="B157">
        <v>1085.29</v>
      </c>
      <c r="C157">
        <f>B157+F156</f>
        <v>1085.3835999999999</v>
      </c>
      <c r="D157">
        <f>4*0.3836</f>
        <v>1.5344</v>
      </c>
      <c r="M157">
        <f>102.5066-97.79</f>
        <v>4.7165999999999997</v>
      </c>
      <c r="N157">
        <f>N156-N158</f>
        <v>0.32000000000016371</v>
      </c>
      <c r="O157">
        <f>N157/M157</f>
        <v>6.7845481914973443E-2</v>
      </c>
      <c r="R157" t="s">
        <v>51</v>
      </c>
      <c r="S157">
        <v>1085.972</v>
      </c>
    </row>
    <row r="158" spans="1:19" x14ac:dyDescent="0.25">
      <c r="A158" t="s">
        <v>65</v>
      </c>
      <c r="B158">
        <v>1085.309</v>
      </c>
      <c r="C158">
        <f>B158+F156</f>
        <v>1085.4025999999999</v>
      </c>
      <c r="D158">
        <f>4*0.4026</f>
        <v>1.6104000000000001</v>
      </c>
      <c r="G158">
        <f>14.5015-7.4258</f>
        <v>7.0757000000000003</v>
      </c>
      <c r="H158">
        <f>0.4026-0.7596</f>
        <v>-0.35700000000000004</v>
      </c>
      <c r="I158">
        <f>H158/G158</f>
        <v>-5.0454372005596625E-2</v>
      </c>
      <c r="M158" t="s">
        <v>64</v>
      </c>
      <c r="N158">
        <v>1085.3835999999999</v>
      </c>
      <c r="R158" t="s">
        <v>75</v>
      </c>
      <c r="S158">
        <v>1086.6099999999999</v>
      </c>
    </row>
    <row r="159" spans="1:19" x14ac:dyDescent="0.25">
      <c r="A159" t="s">
        <v>66</v>
      </c>
      <c r="B159">
        <v>1085.6659999999999</v>
      </c>
      <c r="C159">
        <f>B159+F156</f>
        <v>1085.7595999999999</v>
      </c>
      <c r="D159">
        <f>4*0.7596</f>
        <v>3.0384000000000002</v>
      </c>
      <c r="G159">
        <f>22.35-14.5015</f>
        <v>7.8485000000000014</v>
      </c>
      <c r="H159">
        <f>5.83-5.666</f>
        <v>0.1639999999999997</v>
      </c>
      <c r="I159">
        <f>H159/G159</f>
        <v>2.0895712556539426E-2</v>
      </c>
      <c r="M159">
        <f>107.4258-102.5066</f>
        <v>4.9191999999999894</v>
      </c>
      <c r="N159">
        <f>N158-N160</f>
        <v>-1.9000000000005457E-2</v>
      </c>
      <c r="O159">
        <f>N159/M159</f>
        <v>-3.862416653115445E-3</v>
      </c>
    </row>
    <row r="160" spans="1:19" x14ac:dyDescent="0.25">
      <c r="A160" t="s">
        <v>67</v>
      </c>
      <c r="B160">
        <v>1085.8333299999999</v>
      </c>
      <c r="C160">
        <f>B160+F156</f>
        <v>1085.9269299999999</v>
      </c>
      <c r="D160">
        <f>4*0.9269</f>
        <v>3.7075999999999998</v>
      </c>
      <c r="M160" t="s">
        <v>65</v>
      </c>
      <c r="N160">
        <v>1085.4025999999999</v>
      </c>
    </row>
    <row r="161" spans="1:21" x14ac:dyDescent="0.25">
      <c r="A161" t="s">
        <v>70</v>
      </c>
      <c r="B161">
        <v>1085.8389999999999</v>
      </c>
      <c r="C161">
        <v>1086.146</v>
      </c>
      <c r="D161">
        <f>1.146*4</f>
        <v>4.5839999999999996</v>
      </c>
      <c r="M161">
        <f>114.5015-107.4258</f>
        <v>7.0756999999999977</v>
      </c>
      <c r="N161">
        <f>N160-N162</f>
        <v>-0.35700000000019827</v>
      </c>
      <c r="O161">
        <f>N161/M161</f>
        <v>-5.0454372005624658E-2</v>
      </c>
    </row>
    <row r="162" spans="1:21" x14ac:dyDescent="0.25">
      <c r="A162" s="1" t="s">
        <v>71</v>
      </c>
      <c r="B162" s="1">
        <v>1086.146</v>
      </c>
      <c r="C162" s="1">
        <f>B162+F156</f>
        <v>1086.2395999999999</v>
      </c>
      <c r="D162" s="1">
        <f>1.296*4</f>
        <v>5.1840000000000002</v>
      </c>
      <c r="E162" s="1"/>
      <c r="M162" t="s">
        <v>66</v>
      </c>
      <c r="N162">
        <v>1085.7596000000001</v>
      </c>
    </row>
    <row r="163" spans="1:21" x14ac:dyDescent="0.25">
      <c r="A163" t="s">
        <v>72</v>
      </c>
      <c r="C163">
        <v>1086.6099999999999</v>
      </c>
      <c r="G163">
        <v>133.56</v>
      </c>
      <c r="H163">
        <v>122.35</v>
      </c>
      <c r="I163">
        <f>G163-H163</f>
        <v>11.210000000000008</v>
      </c>
      <c r="J163">
        <f>6.15-5.93</f>
        <v>0.22000000000000064</v>
      </c>
      <c r="K163">
        <f>J163/I163</f>
        <v>1.9625334522747589E-2</v>
      </c>
      <c r="M163">
        <f>122.35-114.5015</f>
        <v>7.8485000000000014</v>
      </c>
      <c r="N163">
        <f>N162-N164</f>
        <v>-0.16729999999984102</v>
      </c>
      <c r="O163">
        <f>N163/M163</f>
        <v>-2.1316175065278841E-2</v>
      </c>
      <c r="T163">
        <f>2.65*O165</f>
        <v>-5.1813330477700828E-2</v>
      </c>
      <c r="U163">
        <f>1085.927+0.05181</f>
        <v>1085.9788099999998</v>
      </c>
    </row>
    <row r="164" spans="1:21" x14ac:dyDescent="0.25">
      <c r="G164">
        <f>50-33.56</f>
        <v>16.439999999999998</v>
      </c>
      <c r="H164">
        <f>0.61-0.15</f>
        <v>0.45999999999999996</v>
      </c>
      <c r="I164">
        <f>H164/G164</f>
        <v>2.7980535279805353E-2</v>
      </c>
      <c r="M164" t="s">
        <v>67</v>
      </c>
      <c r="N164">
        <v>1085.9268999999999</v>
      </c>
      <c r="T164">
        <f>N162+0.16307</f>
        <v>1085.9226700000002</v>
      </c>
    </row>
    <row r="165" spans="1:21" x14ac:dyDescent="0.25">
      <c r="M165">
        <f>133.5559-122.35</f>
        <v>11.205900000000014</v>
      </c>
      <c r="N165">
        <f>N164-N166</f>
        <v>-0.21910000000002583</v>
      </c>
      <c r="O165">
        <f>N165/M165</f>
        <v>-1.9552200180264465E-2</v>
      </c>
      <c r="R165">
        <f>130-122.35</f>
        <v>7.6500000000000057</v>
      </c>
      <c r="S165">
        <f>O163*R165</f>
        <v>-0.16306873924938325</v>
      </c>
    </row>
    <row r="166" spans="1:21" x14ac:dyDescent="0.25">
      <c r="M166" t="s">
        <v>70</v>
      </c>
      <c r="N166">
        <v>1086.146</v>
      </c>
    </row>
    <row r="167" spans="1:21" x14ac:dyDescent="0.25">
      <c r="M167">
        <f>150-133.5559</f>
        <v>16.444099999999992</v>
      </c>
      <c r="N167">
        <f>N166-N168</f>
        <v>-0.46399999999994179</v>
      </c>
      <c r="O167">
        <f>N167/M167</f>
        <v>-2.8216807243931989E-2</v>
      </c>
    </row>
    <row r="168" spans="1:21" x14ac:dyDescent="0.25">
      <c r="M168" t="s">
        <v>72</v>
      </c>
      <c r="N168">
        <v>1086.6099999999999</v>
      </c>
    </row>
    <row r="177" spans="1:16" x14ac:dyDescent="0.25">
      <c r="C177" t="s">
        <v>79</v>
      </c>
      <c r="D177" t="s">
        <v>80</v>
      </c>
      <c r="F177" t="s">
        <v>81</v>
      </c>
    </row>
    <row r="178" spans="1:16" x14ac:dyDescent="0.25">
      <c r="A178" t="s">
        <v>77</v>
      </c>
      <c r="C178">
        <v>1085.3499999999999</v>
      </c>
      <c r="D178">
        <v>1085.03</v>
      </c>
      <c r="F178">
        <v>1084.5999999999999</v>
      </c>
      <c r="H178">
        <f>0.56+F178</f>
        <v>1085.1599999999999</v>
      </c>
    </row>
    <row r="179" spans="1:16" x14ac:dyDescent="0.25">
      <c r="A179" t="s">
        <v>78</v>
      </c>
      <c r="C179">
        <v>1084.6679999999999</v>
      </c>
      <c r="D179">
        <v>1084.307</v>
      </c>
      <c r="F179">
        <v>1084.05</v>
      </c>
      <c r="H179">
        <f>F179+0.5</f>
        <v>1084.55</v>
      </c>
    </row>
    <row r="181" spans="1:16" x14ac:dyDescent="0.25">
      <c r="C181">
        <v>1086.53</v>
      </c>
      <c r="D181">
        <v>1086.6959999999999</v>
      </c>
      <c r="F181">
        <v>1086.146</v>
      </c>
      <c r="H181">
        <f>F181+0.56</f>
        <v>1086.7059999999999</v>
      </c>
    </row>
    <row r="185" spans="1:16" x14ac:dyDescent="0.25">
      <c r="B185" t="s">
        <v>89</v>
      </c>
      <c r="C185" t="s">
        <v>90</v>
      </c>
      <c r="E185" t="s">
        <v>98</v>
      </c>
    </row>
    <row r="186" spans="1:16" x14ac:dyDescent="0.25">
      <c r="A186" t="s">
        <v>88</v>
      </c>
      <c r="B186">
        <v>1085.98</v>
      </c>
      <c r="C186">
        <f>B186+F187</f>
        <v>1086.0735999999999</v>
      </c>
      <c r="D186">
        <v>1.54</v>
      </c>
      <c r="E186">
        <v>1081.78</v>
      </c>
    </row>
    <row r="187" spans="1:16" x14ac:dyDescent="0.25">
      <c r="A187" t="s">
        <v>82</v>
      </c>
      <c r="B187">
        <v>1086.1030000000001</v>
      </c>
      <c r="C187">
        <f>B187+F187</f>
        <v>1086.1966</v>
      </c>
      <c r="D187">
        <v>-4.7300000000000004</v>
      </c>
      <c r="E187">
        <v>1082.4100000000001</v>
      </c>
      <c r="F187">
        <f>0.0156*6</f>
        <v>9.3599999999999989E-2</v>
      </c>
      <c r="N187">
        <v>6.4667000000000003</v>
      </c>
      <c r="O187">
        <v>4</v>
      </c>
      <c r="P187">
        <f>N187/O187</f>
        <v>1.6166750000000001</v>
      </c>
    </row>
    <row r="188" spans="1:16" x14ac:dyDescent="0.25">
      <c r="A188" t="s">
        <v>83</v>
      </c>
      <c r="B188">
        <v>1085.7</v>
      </c>
      <c r="C188">
        <f>B188+F187</f>
        <v>1085.7936</v>
      </c>
      <c r="D188">
        <v>0.61</v>
      </c>
      <c r="E188">
        <v>1082.48</v>
      </c>
    </row>
    <row r="189" spans="1:16" x14ac:dyDescent="0.25">
      <c r="A189" t="s">
        <v>84</v>
      </c>
      <c r="B189">
        <v>1085.74</v>
      </c>
      <c r="C189">
        <f>B189+F187</f>
        <v>1085.8335999999999</v>
      </c>
      <c r="D189">
        <v>5.0199999999999996</v>
      </c>
      <c r="E189">
        <v>1082.53</v>
      </c>
      <c r="H189">
        <v>1085.98</v>
      </c>
      <c r="I189">
        <f>6*0.0185</f>
        <v>0.11099999999999999</v>
      </c>
      <c r="J189">
        <f>H189+I189</f>
        <v>1086.0910000000001</v>
      </c>
    </row>
    <row r="190" spans="1:16" x14ac:dyDescent="0.25">
      <c r="A190" t="s">
        <v>85</v>
      </c>
      <c r="B190">
        <v>1086.06</v>
      </c>
      <c r="C190">
        <f>B190+F187</f>
        <v>1086.1535999999999</v>
      </c>
      <c r="D190">
        <v>3.8</v>
      </c>
      <c r="E190">
        <v>1082.58</v>
      </c>
    </row>
    <row r="191" spans="1:16" x14ac:dyDescent="0.25">
      <c r="A191" t="s">
        <v>51</v>
      </c>
      <c r="B191">
        <v>1086.44</v>
      </c>
      <c r="C191">
        <f>B191+F187</f>
        <v>1086.5336</v>
      </c>
      <c r="D191">
        <v>0.34</v>
      </c>
      <c r="E191">
        <v>1082.6600000000001</v>
      </c>
      <c r="O191" t="s">
        <v>88</v>
      </c>
      <c r="P191">
        <v>93.42</v>
      </c>
    </row>
    <row r="192" spans="1:16" x14ac:dyDescent="0.25">
      <c r="A192" t="s">
        <v>86</v>
      </c>
      <c r="B192">
        <v>1086.6099999999999</v>
      </c>
      <c r="C192">
        <v>1086.6099999999999</v>
      </c>
      <c r="E192">
        <v>1082.8399999999999</v>
      </c>
      <c r="O192" t="s">
        <v>82</v>
      </c>
      <c r="P192">
        <v>85</v>
      </c>
    </row>
    <row r="193" spans="1:19" x14ac:dyDescent="0.25">
      <c r="A193" t="s">
        <v>76</v>
      </c>
      <c r="B193">
        <v>1086.7312999999999</v>
      </c>
      <c r="C193">
        <v>1086.73</v>
      </c>
      <c r="P193">
        <f>P191-P192</f>
        <v>8.4200000000000017</v>
      </c>
      <c r="Q193">
        <v>6</v>
      </c>
      <c r="R193">
        <f>P193*Q193</f>
        <v>50.52000000000001</v>
      </c>
    </row>
    <row r="194" spans="1:19" x14ac:dyDescent="0.25">
      <c r="A194" t="s">
        <v>87</v>
      </c>
      <c r="B194">
        <v>1086.72</v>
      </c>
      <c r="C194">
        <v>1086.72</v>
      </c>
      <c r="P194">
        <v>150</v>
      </c>
    </row>
    <row r="195" spans="1:19" x14ac:dyDescent="0.25">
      <c r="P195">
        <v>115.1</v>
      </c>
    </row>
    <row r="196" spans="1:19" x14ac:dyDescent="0.25">
      <c r="K196">
        <v>93.42</v>
      </c>
      <c r="M196">
        <f>93.42-115.01</f>
        <v>-21.590000000000003</v>
      </c>
      <c r="P196">
        <f>P194-P195</f>
        <v>34.900000000000006</v>
      </c>
      <c r="Q196">
        <v>6</v>
      </c>
      <c r="R196">
        <f>P196*Q196</f>
        <v>209.40000000000003</v>
      </c>
    </row>
    <row r="197" spans="1:19" x14ac:dyDescent="0.25">
      <c r="K197" t="s">
        <v>85</v>
      </c>
      <c r="M197">
        <f>21.59*6</f>
        <v>129.54</v>
      </c>
    </row>
    <row r="198" spans="1:19" x14ac:dyDescent="0.25">
      <c r="A198" t="s">
        <v>88</v>
      </c>
      <c r="B198">
        <v>1085.46</v>
      </c>
    </row>
    <row r="199" spans="1:19" x14ac:dyDescent="0.25">
      <c r="A199" t="s">
        <v>63</v>
      </c>
      <c r="B199">
        <v>1085.3599999999999</v>
      </c>
    </row>
    <row r="200" spans="1:19" x14ac:dyDescent="0.25">
      <c r="A200" t="s">
        <v>51</v>
      </c>
      <c r="B200">
        <v>1086.0999999999999</v>
      </c>
    </row>
    <row r="201" spans="1:19" x14ac:dyDescent="0.25">
      <c r="A201" t="s">
        <v>75</v>
      </c>
      <c r="B201">
        <v>1086.6099999999999</v>
      </c>
    </row>
    <row r="202" spans="1:19" x14ac:dyDescent="0.25">
      <c r="A202" t="s">
        <v>76</v>
      </c>
      <c r="B202">
        <v>1086.73</v>
      </c>
    </row>
    <row r="203" spans="1:19" x14ac:dyDescent="0.25">
      <c r="A203" t="s">
        <v>87</v>
      </c>
      <c r="B203">
        <v>1086.72</v>
      </c>
      <c r="S203">
        <f>85-11.76</f>
        <v>73.239999999999995</v>
      </c>
    </row>
    <row r="204" spans="1:19" x14ac:dyDescent="0.25">
      <c r="N204" s="2">
        <v>7.7600000000000004E-3</v>
      </c>
      <c r="O204">
        <v>1081.78</v>
      </c>
      <c r="P204">
        <v>7.7600000000000004E-3</v>
      </c>
      <c r="R204" t="s">
        <v>99</v>
      </c>
      <c r="S204">
        <f>(S203=P204)+O204</f>
        <v>1081.78</v>
      </c>
    </row>
    <row r="205" spans="1:19" x14ac:dyDescent="0.25">
      <c r="R205">
        <f>93.42-11.76</f>
        <v>81.66</v>
      </c>
      <c r="S205">
        <f>(R205*P204)+O204</f>
        <v>1082.4136816</v>
      </c>
    </row>
    <row r="206" spans="1:19" x14ac:dyDescent="0.25">
      <c r="R206">
        <f>102.08-11.76</f>
        <v>90.32</v>
      </c>
      <c r="S206">
        <f>(P204*R206)+O204</f>
        <v>1082.4808831999999</v>
      </c>
    </row>
    <row r="207" spans="1:19" x14ac:dyDescent="0.25">
      <c r="C207" t="s">
        <v>91</v>
      </c>
      <c r="D207" t="s">
        <v>92</v>
      </c>
      <c r="E207" t="s">
        <v>97</v>
      </c>
      <c r="F207" t="s">
        <v>93</v>
      </c>
      <c r="G207" t="s">
        <v>94</v>
      </c>
      <c r="H207" t="s">
        <v>95</v>
      </c>
      <c r="I207" t="s">
        <v>96</v>
      </c>
      <c r="N207">
        <v>11081.78</v>
      </c>
      <c r="O207">
        <v>7.7600000000000004E-3</v>
      </c>
      <c r="P207">
        <v>108.64</v>
      </c>
      <c r="Q207">
        <v>11.76</v>
      </c>
      <c r="R207">
        <f>P207-Q207</f>
        <v>96.88</v>
      </c>
      <c r="S207">
        <f>(R207*O207)+N207</f>
        <v>11082.531788800001</v>
      </c>
    </row>
    <row r="208" spans="1:19" x14ac:dyDescent="0.25">
      <c r="A208" t="s">
        <v>88</v>
      </c>
      <c r="C208">
        <v>5</v>
      </c>
      <c r="F208">
        <v>1.9</v>
      </c>
      <c r="G208">
        <v>1.7</v>
      </c>
      <c r="N208">
        <v>11081.78</v>
      </c>
      <c r="O208">
        <v>7.7600000000000004E-3</v>
      </c>
      <c r="P208">
        <v>115.01</v>
      </c>
      <c r="Q208">
        <v>11.76</v>
      </c>
      <c r="R208">
        <f t="shared" ref="R208:R210" si="7">P208-Q208</f>
        <v>103.25</v>
      </c>
      <c r="S208">
        <f t="shared" ref="S208:S210" si="8">(R208*O208)+N208</f>
        <v>11082.58122</v>
      </c>
    </row>
    <row r="209" spans="1:19" x14ac:dyDescent="0.25">
      <c r="B209">
        <f>93.42-85</f>
        <v>8.4200000000000017</v>
      </c>
      <c r="C209">
        <f>(C208+C210)/2</f>
        <v>5</v>
      </c>
      <c r="D209">
        <f>(B209*C209)/9</f>
        <v>4.6777777777777789</v>
      </c>
      <c r="E209">
        <v>5</v>
      </c>
      <c r="F209">
        <f>(F208+F210)/2</f>
        <v>2.5</v>
      </c>
      <c r="G209">
        <f>(G208+G210)</f>
        <v>2.8</v>
      </c>
      <c r="H209">
        <f>(F209*B209)/27</f>
        <v>0.77962962962962978</v>
      </c>
      <c r="I209">
        <f>(G209*B209)/27</f>
        <v>0.87318518518518529</v>
      </c>
      <c r="J209">
        <v>1</v>
      </c>
      <c r="K209">
        <v>1</v>
      </c>
      <c r="N209">
        <v>11081.78</v>
      </c>
      <c r="O209">
        <v>7.7600000000000004E-3</v>
      </c>
      <c r="P209">
        <v>125</v>
      </c>
      <c r="Q209">
        <v>11.76</v>
      </c>
      <c r="R209">
        <f t="shared" si="7"/>
        <v>113.24</v>
      </c>
      <c r="S209">
        <f t="shared" si="8"/>
        <v>11082.658742400001</v>
      </c>
    </row>
    <row r="210" spans="1:19" x14ac:dyDescent="0.25">
      <c r="A210" t="s">
        <v>82</v>
      </c>
      <c r="C210">
        <v>5</v>
      </c>
      <c r="F210">
        <v>3.1</v>
      </c>
      <c r="G210">
        <v>1.1000000000000001</v>
      </c>
      <c r="N210">
        <v>11081.78</v>
      </c>
      <c r="O210">
        <v>7.7600000000000004E-3</v>
      </c>
      <c r="P210">
        <v>148.53</v>
      </c>
      <c r="Q210">
        <v>11.76</v>
      </c>
      <c r="R210">
        <f t="shared" si="7"/>
        <v>136.77000000000001</v>
      </c>
      <c r="S210">
        <f t="shared" si="8"/>
        <v>11082.841335200001</v>
      </c>
    </row>
    <row r="211" spans="1:19" x14ac:dyDescent="0.25">
      <c r="B211">
        <f>102.08-93.42</f>
        <v>8.6599999999999966</v>
      </c>
      <c r="C211">
        <v>5</v>
      </c>
      <c r="D211">
        <f t="shared" ref="D210:D220" si="9">(B211*C211)/9</f>
        <v>4.8111111111111091</v>
      </c>
      <c r="E211">
        <v>5</v>
      </c>
      <c r="F211">
        <f>(F210+F212)/2</f>
        <v>2.75</v>
      </c>
      <c r="G211">
        <f>(G210+G212)/2</f>
        <v>1.1000000000000001</v>
      </c>
      <c r="H211">
        <f t="shared" ref="H210:H219" si="10">(F211*B211)/27</f>
        <v>0.88203703703703673</v>
      </c>
      <c r="I211">
        <f t="shared" ref="I210:I219" si="11">(G211*B211)/27</f>
        <v>0.35281481481481469</v>
      </c>
      <c r="J211">
        <v>1</v>
      </c>
      <c r="K211">
        <v>1</v>
      </c>
    </row>
    <row r="212" spans="1:19" x14ac:dyDescent="0.25">
      <c r="A212" t="s">
        <v>83</v>
      </c>
      <c r="C212">
        <v>5</v>
      </c>
      <c r="F212">
        <v>2.4</v>
      </c>
      <c r="G212">
        <v>1.1000000000000001</v>
      </c>
    </row>
    <row r="213" spans="1:19" x14ac:dyDescent="0.25">
      <c r="B213">
        <f>108.64-102.08</f>
        <v>6.5600000000000023</v>
      </c>
      <c r="C213">
        <v>5</v>
      </c>
      <c r="D213">
        <f t="shared" si="9"/>
        <v>3.6444444444444457</v>
      </c>
      <c r="E213">
        <v>4</v>
      </c>
      <c r="F213">
        <f>(F212+F214)/2</f>
        <v>2.8499999999999996</v>
      </c>
      <c r="G213">
        <f>(G212+G214)/2</f>
        <v>0.9</v>
      </c>
      <c r="H213">
        <f t="shared" si="10"/>
        <v>0.69244444444444464</v>
      </c>
      <c r="I213">
        <f t="shared" si="11"/>
        <v>0.21866666666666676</v>
      </c>
      <c r="J213">
        <v>1</v>
      </c>
      <c r="K213">
        <v>1</v>
      </c>
    </row>
    <row r="214" spans="1:19" x14ac:dyDescent="0.25">
      <c r="A214" t="s">
        <v>84</v>
      </c>
      <c r="C214">
        <v>5</v>
      </c>
      <c r="F214">
        <v>3.3</v>
      </c>
      <c r="G214">
        <v>0.7</v>
      </c>
    </row>
    <row r="215" spans="1:19" x14ac:dyDescent="0.25">
      <c r="B215">
        <f>115.01-108.64</f>
        <v>6.3700000000000045</v>
      </c>
      <c r="C215">
        <v>5</v>
      </c>
      <c r="D215">
        <f t="shared" si="9"/>
        <v>3.5388888888888914</v>
      </c>
      <c r="E215">
        <v>4</v>
      </c>
      <c r="F215">
        <f>(F214+F216)/2</f>
        <v>3.05</v>
      </c>
      <c r="G215">
        <f>(G214+G216)/2</f>
        <v>0.9</v>
      </c>
      <c r="H215">
        <f t="shared" si="10"/>
        <v>0.71957407407407459</v>
      </c>
      <c r="I215">
        <f t="shared" si="11"/>
        <v>0.21233333333333348</v>
      </c>
      <c r="J215">
        <v>1</v>
      </c>
      <c r="K215">
        <v>1</v>
      </c>
    </row>
    <row r="216" spans="1:19" x14ac:dyDescent="0.25">
      <c r="A216" t="s">
        <v>85</v>
      </c>
      <c r="C216">
        <v>5</v>
      </c>
      <c r="F216">
        <v>2.8</v>
      </c>
      <c r="G216">
        <v>1.1000000000000001</v>
      </c>
    </row>
    <row r="217" spans="1:19" x14ac:dyDescent="0.25">
      <c r="B217">
        <f>125-115.01</f>
        <v>9.9899999999999949</v>
      </c>
      <c r="C217">
        <v>5</v>
      </c>
      <c r="D217">
        <f t="shared" si="9"/>
        <v>5.5499999999999972</v>
      </c>
      <c r="E217">
        <v>6</v>
      </c>
      <c r="F217">
        <f>(F216+F218)/2</f>
        <v>2.7</v>
      </c>
      <c r="G217">
        <f>(G216+G218)/2</f>
        <v>1.25</v>
      </c>
      <c r="H217">
        <f t="shared" si="10"/>
        <v>0.99899999999999956</v>
      </c>
      <c r="I217">
        <f t="shared" si="11"/>
        <v>0.46249999999999974</v>
      </c>
      <c r="J217">
        <v>1</v>
      </c>
      <c r="K217">
        <v>1</v>
      </c>
    </row>
    <row r="218" spans="1:19" x14ac:dyDescent="0.25">
      <c r="A218" t="s">
        <v>51</v>
      </c>
      <c r="C218">
        <v>5</v>
      </c>
      <c r="F218">
        <v>2.6</v>
      </c>
      <c r="G218">
        <v>1.4</v>
      </c>
    </row>
    <row r="219" spans="1:19" x14ac:dyDescent="0.25">
      <c r="B219">
        <f>150-125</f>
        <v>25</v>
      </c>
      <c r="C219">
        <v>3</v>
      </c>
      <c r="D219">
        <f t="shared" si="9"/>
        <v>8.3333333333333339</v>
      </c>
      <c r="E219">
        <v>9</v>
      </c>
      <c r="F219">
        <f>(F218+F220)/2</f>
        <v>3.45</v>
      </c>
      <c r="G219">
        <f>(G218+G220)/2</f>
        <v>0.7</v>
      </c>
      <c r="H219">
        <f t="shared" si="10"/>
        <v>3.1944444444444446</v>
      </c>
      <c r="I219">
        <f t="shared" si="11"/>
        <v>0.64814814814814814</v>
      </c>
      <c r="J219">
        <v>4</v>
      </c>
      <c r="K219">
        <v>1</v>
      </c>
    </row>
    <row r="220" spans="1:19" x14ac:dyDescent="0.25">
      <c r="A220" t="s">
        <v>75</v>
      </c>
      <c r="C220">
        <v>1</v>
      </c>
      <c r="F220">
        <v>4.3</v>
      </c>
      <c r="G220">
        <v>0</v>
      </c>
    </row>
    <row r="221" spans="1:19" x14ac:dyDescent="0.25">
      <c r="B221">
        <f>175-150</f>
        <v>25</v>
      </c>
      <c r="E221">
        <f>SUM(E209:E220)</f>
        <v>33</v>
      </c>
      <c r="J221">
        <f>SUM(J209:J220)</f>
        <v>9</v>
      </c>
      <c r="K221">
        <f>SUM(K209:K220)</f>
        <v>6</v>
      </c>
    </row>
    <row r="222" spans="1:19" x14ac:dyDescent="0.25">
      <c r="A222" t="s">
        <v>76</v>
      </c>
    </row>
    <row r="229" spans="1:10" x14ac:dyDescent="0.25">
      <c r="B229" t="s">
        <v>139</v>
      </c>
      <c r="C229" t="s">
        <v>140</v>
      </c>
      <c r="D229" t="s">
        <v>26</v>
      </c>
    </row>
    <row r="230" spans="1:10" x14ac:dyDescent="0.25">
      <c r="A230" s="1" t="s">
        <v>100</v>
      </c>
      <c r="B230" s="1"/>
      <c r="C230" s="1"/>
      <c r="D230" s="1"/>
    </row>
    <row r="231" spans="1:10" x14ac:dyDescent="0.25">
      <c r="A231" s="1" t="s">
        <v>101</v>
      </c>
      <c r="B231" s="1"/>
      <c r="C231" s="1"/>
      <c r="D231" s="1"/>
    </row>
    <row r="232" spans="1:10" x14ac:dyDescent="0.25">
      <c r="A232" s="1" t="s">
        <v>102</v>
      </c>
      <c r="B232" s="1"/>
      <c r="C232" s="1"/>
      <c r="D232" s="1"/>
    </row>
    <row r="233" spans="1:10" x14ac:dyDescent="0.25">
      <c r="A233" s="1" t="s">
        <v>103</v>
      </c>
      <c r="B233" s="1"/>
      <c r="C233" s="1"/>
      <c r="D233" s="1"/>
    </row>
    <row r="234" spans="1:10" x14ac:dyDescent="0.25">
      <c r="A234" s="1" t="s">
        <v>104</v>
      </c>
      <c r="B234" s="1">
        <v>15.51</v>
      </c>
      <c r="C234" s="1">
        <v>8.6999999999999993</v>
      </c>
      <c r="D234" s="4" t="s">
        <v>143</v>
      </c>
    </row>
    <row r="235" spans="1:10" x14ac:dyDescent="0.25">
      <c r="A235" s="1" t="s">
        <v>105</v>
      </c>
      <c r="B235" s="1">
        <v>15.5</v>
      </c>
      <c r="C235" s="1">
        <v>7.37</v>
      </c>
      <c r="D235" s="4" t="s">
        <v>143</v>
      </c>
    </row>
    <row r="236" spans="1:10" x14ac:dyDescent="0.25">
      <c r="A236" s="1" t="s">
        <v>106</v>
      </c>
      <c r="B236" s="1">
        <v>15.5</v>
      </c>
      <c r="C236" s="1">
        <v>7.64</v>
      </c>
      <c r="D236" s="4" t="s">
        <v>143</v>
      </c>
    </row>
    <row r="237" spans="1:10" x14ac:dyDescent="0.25">
      <c r="A237" s="1" t="s">
        <v>107</v>
      </c>
      <c r="B237" s="1">
        <v>15.5</v>
      </c>
      <c r="C237" s="1">
        <v>7.6443000000000003</v>
      </c>
      <c r="D237" s="4" t="s">
        <v>143</v>
      </c>
    </row>
    <row r="238" spans="1:10" x14ac:dyDescent="0.25">
      <c r="A238" s="1" t="s">
        <v>141</v>
      </c>
      <c r="B238" s="1">
        <v>15.54</v>
      </c>
      <c r="C238" s="1">
        <v>7.9486999999999997</v>
      </c>
      <c r="D238" s="4" t="s">
        <v>143</v>
      </c>
    </row>
    <row r="239" spans="1:10" x14ac:dyDescent="0.25">
      <c r="A239" s="1" t="s">
        <v>108</v>
      </c>
      <c r="B239" s="1">
        <v>13.786799999999999</v>
      </c>
      <c r="C239" s="1">
        <v>6.4859999999999998</v>
      </c>
      <c r="D239" s="4" t="s">
        <v>143</v>
      </c>
      <c r="I239">
        <f>0.01167*17</f>
        <v>0.19839000000000001</v>
      </c>
      <c r="J239">
        <f>33*0.01167</f>
        <v>0.38511000000000001</v>
      </c>
    </row>
    <row r="240" spans="1:10" x14ac:dyDescent="0.25">
      <c r="A240" s="1" t="s">
        <v>109</v>
      </c>
      <c r="B240" s="1">
        <v>12.3825</v>
      </c>
      <c r="C240" s="4" t="s">
        <v>142</v>
      </c>
      <c r="D240" s="4" t="s">
        <v>143</v>
      </c>
      <c r="I240">
        <f>77.659-I239</f>
        <v>77.460610000000003</v>
      </c>
      <c r="J240">
        <f>77.659-J239</f>
        <v>77.273890000000009</v>
      </c>
    </row>
    <row r="241" spans="1:19" x14ac:dyDescent="0.25">
      <c r="A241" s="1" t="s">
        <v>110</v>
      </c>
      <c r="B241" s="1">
        <v>12.0021</v>
      </c>
      <c r="C241" s="4" t="s">
        <v>142</v>
      </c>
      <c r="D241" s="4" t="s">
        <v>143</v>
      </c>
    </row>
    <row r="242" spans="1:19" x14ac:dyDescent="0.25">
      <c r="A242" s="1" t="s">
        <v>111</v>
      </c>
      <c r="B242" s="1">
        <v>9.68</v>
      </c>
      <c r="C242" s="4" t="s">
        <v>142</v>
      </c>
      <c r="D242" s="4" t="s">
        <v>143</v>
      </c>
    </row>
    <row r="243" spans="1:19" x14ac:dyDescent="0.25">
      <c r="A243" s="1" t="s">
        <v>112</v>
      </c>
      <c r="B243" s="1">
        <v>7.4</v>
      </c>
      <c r="C243" s="4" t="s">
        <v>142</v>
      </c>
      <c r="D243" s="4" t="s">
        <v>143</v>
      </c>
      <c r="H243">
        <v>4.42</v>
      </c>
    </row>
    <row r="244" spans="1:19" x14ac:dyDescent="0.25">
      <c r="A244" s="1" t="s">
        <v>113</v>
      </c>
      <c r="B244" s="1">
        <v>6.7183000000000002</v>
      </c>
      <c r="C244" s="4" t="s">
        <v>142</v>
      </c>
      <c r="D244" s="4" t="s">
        <v>143</v>
      </c>
      <c r="R244">
        <f>L246-L247</f>
        <v>1.1669999999999163</v>
      </c>
      <c r="S244">
        <v>67.33</v>
      </c>
    </row>
    <row r="245" spans="1:19" x14ac:dyDescent="0.25">
      <c r="A245" s="1" t="s">
        <v>114</v>
      </c>
      <c r="B245" s="1">
        <v>4.9511000000000003</v>
      </c>
      <c r="C245" s="4" t="s">
        <v>142</v>
      </c>
      <c r="D245" s="4" t="s">
        <v>143</v>
      </c>
      <c r="I245" t="s">
        <v>26</v>
      </c>
      <c r="R245">
        <f>R244/100</f>
        <v>1.1669999999999164E-2</v>
      </c>
    </row>
    <row r="246" spans="1:19" x14ac:dyDescent="0.25">
      <c r="A246" s="1" t="s">
        <v>115</v>
      </c>
      <c r="B246" s="1">
        <v>3.1840000000000002</v>
      </c>
      <c r="C246" s="1"/>
      <c r="D246" s="1">
        <v>9.3004999999999995</v>
      </c>
      <c r="F246">
        <v>1.167</v>
      </c>
      <c r="I246" t="s">
        <v>145</v>
      </c>
      <c r="J246">
        <v>1082.079</v>
      </c>
      <c r="K246" t="s">
        <v>150</v>
      </c>
      <c r="L246">
        <f>J246-H243</f>
        <v>1077.6589999999999</v>
      </c>
      <c r="N246">
        <f>2.659*4</f>
        <v>10.635999999999999</v>
      </c>
    </row>
    <row r="247" spans="1:19" x14ac:dyDescent="0.25">
      <c r="A247" s="1" t="s">
        <v>116</v>
      </c>
      <c r="B247" s="1">
        <v>1.4168000000000001</v>
      </c>
      <c r="C247" s="1"/>
      <c r="D247" s="1">
        <v>7.2674000000000003</v>
      </c>
      <c r="F247">
        <v>4.261E-3</v>
      </c>
      <c r="G247">
        <v>6.25</v>
      </c>
      <c r="H247">
        <v>6.58</v>
      </c>
      <c r="I247" t="s">
        <v>144</v>
      </c>
      <c r="J247">
        <v>1082.742</v>
      </c>
      <c r="K247" t="s">
        <v>147</v>
      </c>
      <c r="L247">
        <f>J247-G247</f>
        <v>1076.492</v>
      </c>
      <c r="M247">
        <f>J247-H247</f>
        <v>1076.162</v>
      </c>
      <c r="N247">
        <f>1.492*4</f>
        <v>5.968</v>
      </c>
      <c r="O247">
        <f>4*1.162</f>
        <v>4.6479999999999997</v>
      </c>
      <c r="P247">
        <f>2.742*4</f>
        <v>10.968</v>
      </c>
      <c r="R247">
        <f>76.16-75.624</f>
        <v>0.53600000000000136</v>
      </c>
      <c r="S247">
        <f>R247/125.7917</f>
        <v>4.261012451536956E-3</v>
      </c>
    </row>
    <row r="248" spans="1:19" x14ac:dyDescent="0.25">
      <c r="A248" s="1" t="s">
        <v>117</v>
      </c>
      <c r="B248" s="1">
        <v>-0.35</v>
      </c>
      <c r="C248" s="1"/>
      <c r="D248" s="1">
        <v>5.18</v>
      </c>
      <c r="F248">
        <v>1.9455E-2</v>
      </c>
      <c r="H248">
        <v>5.33</v>
      </c>
      <c r="I248" t="s">
        <v>145</v>
      </c>
      <c r="J248">
        <v>1080.9541999999999</v>
      </c>
      <c r="K248" t="s">
        <v>148</v>
      </c>
      <c r="M248">
        <f>J248-H248</f>
        <v>1075.6242</v>
      </c>
      <c r="O248">
        <f>4*0.624</f>
        <v>2.496</v>
      </c>
      <c r="P248">
        <f>4*0.954</f>
        <v>3.8159999999999998</v>
      </c>
      <c r="R248">
        <f>1074.79-1075.624</f>
        <v>-0.83400000000006003</v>
      </c>
      <c r="S248">
        <f>0.834/42.8682</f>
        <v>1.9454980615001328E-2</v>
      </c>
    </row>
    <row r="249" spans="1:19" x14ac:dyDescent="0.25">
      <c r="A249" s="1" t="s">
        <v>118</v>
      </c>
      <c r="B249" s="1">
        <v>-2.0714999999999999</v>
      </c>
      <c r="C249" s="1"/>
      <c r="D249" s="1">
        <v>-0.34970000000000001</v>
      </c>
      <c r="I249" t="s">
        <v>146</v>
      </c>
      <c r="J249">
        <v>1074.79</v>
      </c>
      <c r="K249" t="s">
        <v>149</v>
      </c>
      <c r="M249">
        <v>1074.79</v>
      </c>
      <c r="O249">
        <f>4.79*4</f>
        <v>19.16</v>
      </c>
    </row>
    <row r="250" spans="1:19" x14ac:dyDescent="0.25">
      <c r="A250" s="1" t="s">
        <v>119</v>
      </c>
      <c r="B250" s="1">
        <v>-3.6398999999999999</v>
      </c>
      <c r="C250" s="1"/>
      <c r="D250" s="1">
        <v>-5.2302999999999997</v>
      </c>
    </row>
    <row r="251" spans="1:19" x14ac:dyDescent="0.25">
      <c r="A251" s="1" t="s">
        <v>120</v>
      </c>
      <c r="B251" s="1">
        <v>-4.0777000000000001</v>
      </c>
      <c r="C251" s="1"/>
      <c r="D251" s="1">
        <v>-6.5923999999999996</v>
      </c>
    </row>
    <row r="252" spans="1:19" x14ac:dyDescent="0.25">
      <c r="A252" s="1" t="s">
        <v>121</v>
      </c>
      <c r="B252" s="1">
        <v>-5.6360999999999999</v>
      </c>
      <c r="C252" s="1"/>
      <c r="D252" s="1">
        <v>-11.442</v>
      </c>
    </row>
    <row r="253" spans="1:19" x14ac:dyDescent="0.25">
      <c r="A253" s="1" t="s">
        <v>122</v>
      </c>
      <c r="B253" s="1">
        <v>-7.4184000000000001</v>
      </c>
      <c r="C253" s="1"/>
      <c r="D253" s="1">
        <v>16.988199999999999</v>
      </c>
      <c r="G253">
        <f>25*F247</f>
        <v>0.10652499999999999</v>
      </c>
      <c r="H253">
        <f>1076.162-G253</f>
        <v>1076.0554750000001</v>
      </c>
      <c r="I253" t="s">
        <v>118</v>
      </c>
    </row>
    <row r="254" spans="1:19" x14ac:dyDescent="0.25">
      <c r="A254" s="1" t="s">
        <v>123</v>
      </c>
      <c r="B254" s="1">
        <v>-8.0667000000000009</v>
      </c>
      <c r="C254" s="1"/>
      <c r="D254" s="1">
        <v>-21.032699999999998</v>
      </c>
      <c r="G254">
        <v>0.10652499999999999</v>
      </c>
    </row>
    <row r="255" spans="1:19" x14ac:dyDescent="0.25">
      <c r="A255" s="1" t="s">
        <v>124</v>
      </c>
      <c r="B255" s="1">
        <v>-8.0667000000000009</v>
      </c>
      <c r="C255" s="1"/>
      <c r="D255" s="1">
        <v>-21.3612</v>
      </c>
      <c r="E255">
        <f>75.624-0.3408516</f>
        <v>75.283148400000002</v>
      </c>
      <c r="F255">
        <f>492-474.48</f>
        <v>17.519999999999982</v>
      </c>
      <c r="G255">
        <v>0.10652499999999999</v>
      </c>
    </row>
    <row r="256" spans="1:19" x14ac:dyDescent="0.25">
      <c r="A256" s="1" t="s">
        <v>125</v>
      </c>
      <c r="B256" s="1">
        <v>-8.0667000000000009</v>
      </c>
      <c r="C256" s="1"/>
      <c r="D256" s="1">
        <v>-21.499600000000001</v>
      </c>
      <c r="E256">
        <f>E255-(8*0.019455)</f>
        <v>75.127508399999996</v>
      </c>
      <c r="F256">
        <f>F255*0.019455</f>
        <v>0.34085159999999964</v>
      </c>
      <c r="G256">
        <v>0.10652499999999999</v>
      </c>
      <c r="L256">
        <f>22*0.004261</f>
        <v>9.3742000000000006E-2</v>
      </c>
    </row>
    <row r="257" spans="1:12" x14ac:dyDescent="0.25">
      <c r="A257" s="1" t="s">
        <v>126</v>
      </c>
      <c r="B257" s="1">
        <v>-8.0667000000000009</v>
      </c>
      <c r="C257" s="1"/>
      <c r="D257" s="1">
        <v>-21.714500000000001</v>
      </c>
      <c r="E257">
        <f>E256-(12.42*0.019455)</f>
        <v>74.88587729999999</v>
      </c>
      <c r="G257">
        <v>0.10652499999999999</v>
      </c>
      <c r="L257">
        <f>6*0.004261</f>
        <v>2.5565999999999998E-2</v>
      </c>
    </row>
    <row r="258" spans="1:12" x14ac:dyDescent="0.25">
      <c r="A258" t="s">
        <v>127</v>
      </c>
      <c r="B258">
        <v>-8.0667000000000009</v>
      </c>
      <c r="G258">
        <v>0.10652499999999999</v>
      </c>
      <c r="L258">
        <f>22*0.004261</f>
        <v>9.3742000000000006E-2</v>
      </c>
    </row>
    <row r="259" spans="1:12" x14ac:dyDescent="0.25">
      <c r="A259" t="s">
        <v>128</v>
      </c>
      <c r="B259">
        <v>-8.0667000000000009</v>
      </c>
      <c r="G259">
        <v>0.10652499999999999</v>
      </c>
      <c r="L259">
        <f>25*0.004261</f>
        <v>0.10652499999999999</v>
      </c>
    </row>
    <row r="260" spans="1:12" x14ac:dyDescent="0.25">
      <c r="A260" t="s">
        <v>129</v>
      </c>
      <c r="B260">
        <v>-8.0667000000000009</v>
      </c>
      <c r="G260">
        <v>0.10652499999999999</v>
      </c>
    </row>
    <row r="261" spans="1:12" x14ac:dyDescent="0.25">
      <c r="A261" t="s">
        <v>130</v>
      </c>
      <c r="B261">
        <v>-8.0667000000000009</v>
      </c>
      <c r="G261">
        <v>0.10652499999999999</v>
      </c>
    </row>
    <row r="262" spans="1:12" x14ac:dyDescent="0.25">
      <c r="A262" t="s">
        <v>131</v>
      </c>
      <c r="B262">
        <v>-7.0677000000000003</v>
      </c>
      <c r="G262">
        <v>0.10652499999999999</v>
      </c>
    </row>
    <row r="263" spans="1:12" x14ac:dyDescent="0.25">
      <c r="A263" t="s">
        <v>132</v>
      </c>
      <c r="B263">
        <v>-5.7746000000000004</v>
      </c>
    </row>
    <row r="264" spans="1:12" x14ac:dyDescent="0.25">
      <c r="A264" t="s">
        <v>133</v>
      </c>
      <c r="B264">
        <v>-4.5</v>
      </c>
    </row>
    <row r="265" spans="1:12" x14ac:dyDescent="0.25">
      <c r="A265" t="s">
        <v>134</v>
      </c>
      <c r="B265">
        <v>-4.5</v>
      </c>
    </row>
    <row r="266" spans="1:12" x14ac:dyDescent="0.25">
      <c r="A266" t="s">
        <v>135</v>
      </c>
      <c r="B266">
        <v>-4.5</v>
      </c>
    </row>
    <row r="267" spans="1:12" x14ac:dyDescent="0.25">
      <c r="A267" t="s">
        <v>136</v>
      </c>
      <c r="B267">
        <v>-4.5</v>
      </c>
    </row>
    <row r="268" spans="1:12" x14ac:dyDescent="0.25">
      <c r="A268" t="s">
        <v>137</v>
      </c>
      <c r="B268">
        <v>-4.5</v>
      </c>
    </row>
    <row r="269" spans="1:12" x14ac:dyDescent="0.25">
      <c r="A269" t="s">
        <v>138</v>
      </c>
      <c r="B269">
        <v>-4.5</v>
      </c>
    </row>
    <row r="280" spans="1:4" x14ac:dyDescent="0.25">
      <c r="A280" t="s">
        <v>151</v>
      </c>
      <c r="B280" t="s">
        <v>152</v>
      </c>
      <c r="C280" t="s">
        <v>153</v>
      </c>
      <c r="D280" t="s">
        <v>154</v>
      </c>
    </row>
    <row r="281" spans="1:4" x14ac:dyDescent="0.25">
      <c r="A281">
        <v>24</v>
      </c>
      <c r="B281">
        <v>7</v>
      </c>
      <c r="C281">
        <v>6</v>
      </c>
      <c r="D281">
        <v>1</v>
      </c>
    </row>
    <row r="282" spans="1:4" x14ac:dyDescent="0.25">
      <c r="B282">
        <v>19</v>
      </c>
      <c r="C282">
        <v>11</v>
      </c>
      <c r="D282">
        <v>4</v>
      </c>
    </row>
    <row r="283" spans="1:4" x14ac:dyDescent="0.25">
      <c r="A283" s="1"/>
      <c r="B283" s="1">
        <f>SUM(B281:B282)</f>
        <v>26</v>
      </c>
      <c r="C283" s="1">
        <f>SUM(C281:C282)</f>
        <v>17</v>
      </c>
      <c r="D283" s="1">
        <f>SUM(D281:D282)</f>
        <v>5</v>
      </c>
    </row>
    <row r="284" spans="1:4" x14ac:dyDescent="0.25">
      <c r="A284">
        <v>25</v>
      </c>
      <c r="B284">
        <v>54</v>
      </c>
      <c r="C284">
        <v>8</v>
      </c>
      <c r="D284">
        <v>2</v>
      </c>
    </row>
    <row r="285" spans="1:4" x14ac:dyDescent="0.25">
      <c r="B285">
        <v>60</v>
      </c>
      <c r="C285">
        <v>7</v>
      </c>
      <c r="D285">
        <v>2</v>
      </c>
    </row>
    <row r="286" spans="1:4" x14ac:dyDescent="0.25">
      <c r="A286" s="1"/>
      <c r="B286" s="1">
        <f>SUM(B284:B285)</f>
        <v>114</v>
      </c>
      <c r="C286" s="1">
        <f>SUM(C284:C285)</f>
        <v>15</v>
      </c>
      <c r="D286" s="1">
        <f>SUM(D284:D285)</f>
        <v>4</v>
      </c>
    </row>
    <row r="287" spans="1:4" x14ac:dyDescent="0.25">
      <c r="A287">
        <v>26</v>
      </c>
      <c r="B287">
        <v>60</v>
      </c>
      <c r="C287">
        <v>12</v>
      </c>
      <c r="D287">
        <v>1</v>
      </c>
    </row>
    <row r="288" spans="1:4" x14ac:dyDescent="0.25">
      <c r="B288">
        <v>10</v>
      </c>
      <c r="C288">
        <v>9</v>
      </c>
      <c r="D288">
        <v>2</v>
      </c>
    </row>
    <row r="289" spans="1:12" x14ac:dyDescent="0.25">
      <c r="A289" s="1"/>
      <c r="B289" s="1">
        <f>SUM(B287:B288)</f>
        <v>70</v>
      </c>
      <c r="C289" s="1">
        <f>SUM(C287:C288)</f>
        <v>21</v>
      </c>
      <c r="D289" s="1">
        <f>SUM(D287:D288)</f>
        <v>3</v>
      </c>
    </row>
    <row r="290" spans="1:12" x14ac:dyDescent="0.25">
      <c r="A290">
        <v>27</v>
      </c>
      <c r="B290">
        <v>104</v>
      </c>
      <c r="C290">
        <v>11</v>
      </c>
      <c r="D290">
        <v>1</v>
      </c>
    </row>
    <row r="291" spans="1:12" x14ac:dyDescent="0.25">
      <c r="B291">
        <v>19</v>
      </c>
      <c r="C291">
        <v>1</v>
      </c>
      <c r="D291">
        <v>3</v>
      </c>
      <c r="I291">
        <v>20</v>
      </c>
      <c r="J291">
        <v>27</v>
      </c>
      <c r="K291">
        <v>23</v>
      </c>
      <c r="L291">
        <v>16</v>
      </c>
    </row>
    <row r="292" spans="1:12" x14ac:dyDescent="0.25">
      <c r="A292" s="1"/>
      <c r="B292" s="1">
        <f>SUM(B290:B291)</f>
        <v>123</v>
      </c>
      <c r="C292" s="1">
        <f>SUM(C290:C291)</f>
        <v>12</v>
      </c>
      <c r="D292" s="1">
        <f>SUM(D290:D291)</f>
        <v>4</v>
      </c>
      <c r="I292">
        <v>13</v>
      </c>
      <c r="J292">
        <v>13</v>
      </c>
      <c r="K292">
        <v>12</v>
      </c>
      <c r="L292">
        <v>20</v>
      </c>
    </row>
    <row r="293" spans="1:12" x14ac:dyDescent="0.25">
      <c r="A293">
        <v>15</v>
      </c>
      <c r="B293">
        <v>87</v>
      </c>
      <c r="C293">
        <v>12</v>
      </c>
      <c r="D293">
        <v>2</v>
      </c>
      <c r="I293">
        <v>16</v>
      </c>
      <c r="J293">
        <v>20</v>
      </c>
      <c r="K293">
        <v>16</v>
      </c>
      <c r="L293">
        <v>9</v>
      </c>
    </row>
    <row r="294" spans="1:12" x14ac:dyDescent="0.25">
      <c r="B294">
        <v>28</v>
      </c>
      <c r="C294">
        <v>5</v>
      </c>
      <c r="D294">
        <v>1</v>
      </c>
      <c r="I294">
        <v>18</v>
      </c>
      <c r="J294">
        <v>28</v>
      </c>
      <c r="K294">
        <v>4</v>
      </c>
      <c r="L294">
        <f>SUM(L291:L293)</f>
        <v>45</v>
      </c>
    </row>
    <row r="295" spans="1:12" x14ac:dyDescent="0.25">
      <c r="A295" s="5"/>
      <c r="B295" s="5">
        <f>SUM(B293:B294)</f>
        <v>115</v>
      </c>
      <c r="C295" s="5">
        <f>SUM(C293:C294)</f>
        <v>17</v>
      </c>
      <c r="D295" s="5">
        <f>SUM(D293:D294)</f>
        <v>3</v>
      </c>
      <c r="I295">
        <v>20</v>
      </c>
      <c r="J295">
        <f>SUM(J291:J294)</f>
        <v>88</v>
      </c>
      <c r="K295">
        <f>SUM(K291:K294)</f>
        <v>55</v>
      </c>
    </row>
    <row r="296" spans="1:12" x14ac:dyDescent="0.25">
      <c r="A296">
        <v>16</v>
      </c>
      <c r="B296">
        <v>55</v>
      </c>
      <c r="C296">
        <v>10</v>
      </c>
      <c r="D296">
        <v>2</v>
      </c>
      <c r="I296">
        <f>SUM(I291:I295)</f>
        <v>87</v>
      </c>
    </row>
    <row r="297" spans="1:12" x14ac:dyDescent="0.25">
      <c r="B297">
        <v>88</v>
      </c>
      <c r="C297">
        <v>14</v>
      </c>
      <c r="D297">
        <v>3</v>
      </c>
    </row>
    <row r="298" spans="1:12" x14ac:dyDescent="0.25">
      <c r="A298" s="5"/>
      <c r="B298" s="5">
        <f>SUM(B296:B297)</f>
        <v>143</v>
      </c>
      <c r="C298" s="5">
        <f>SUM(C296:C297)</f>
        <v>24</v>
      </c>
      <c r="D298" s="5">
        <f>SUM(D296:D297)</f>
        <v>5</v>
      </c>
    </row>
    <row r="299" spans="1:12" x14ac:dyDescent="0.25">
      <c r="A299">
        <v>17</v>
      </c>
      <c r="B299">
        <v>45</v>
      </c>
      <c r="C299">
        <v>8</v>
      </c>
      <c r="D299">
        <v>1</v>
      </c>
    </row>
    <row r="301" spans="1:12" x14ac:dyDescent="0.25">
      <c r="A301">
        <v>20</v>
      </c>
      <c r="B301">
        <v>70</v>
      </c>
      <c r="C301">
        <v>30</v>
      </c>
      <c r="D301">
        <v>16</v>
      </c>
    </row>
    <row r="302" spans="1:12" x14ac:dyDescent="0.25">
      <c r="B302">
        <v>70</v>
      </c>
      <c r="C302">
        <v>28</v>
      </c>
      <c r="D302">
        <v>8</v>
      </c>
      <c r="G302">
        <v>17</v>
      </c>
      <c r="H302">
        <v>3</v>
      </c>
      <c r="I302">
        <v>115</v>
      </c>
    </row>
    <row r="303" spans="1:12" x14ac:dyDescent="0.25">
      <c r="A303" s="6"/>
      <c r="B303" s="6">
        <f>SUM(B301:B302)</f>
        <v>140</v>
      </c>
      <c r="C303" s="6">
        <f>SUM(C301:C302)</f>
        <v>58</v>
      </c>
      <c r="D303" s="6">
        <f>SUM(D301:D302)</f>
        <v>24</v>
      </c>
      <c r="G303">
        <v>24</v>
      </c>
      <c r="H303">
        <v>5</v>
      </c>
      <c r="I303">
        <v>143</v>
      </c>
    </row>
    <row r="304" spans="1:12" x14ac:dyDescent="0.25">
      <c r="A304">
        <v>21</v>
      </c>
      <c r="B304">
        <v>70</v>
      </c>
      <c r="C304">
        <v>28</v>
      </c>
      <c r="D304">
        <v>4</v>
      </c>
      <c r="G304">
        <v>8</v>
      </c>
      <c r="H304">
        <v>1</v>
      </c>
      <c r="I304">
        <v>45</v>
      </c>
    </row>
    <row r="305" spans="1:9" x14ac:dyDescent="0.25">
      <c r="B305">
        <v>12</v>
      </c>
      <c r="C305">
        <v>13</v>
      </c>
      <c r="D305">
        <v>1</v>
      </c>
      <c r="G305">
        <v>38</v>
      </c>
      <c r="H305">
        <v>7</v>
      </c>
      <c r="I305">
        <v>80</v>
      </c>
    </row>
    <row r="306" spans="1:9" x14ac:dyDescent="0.25">
      <c r="A306" s="6"/>
      <c r="B306" s="6">
        <f>SUM(B304:B305)</f>
        <v>82</v>
      </c>
      <c r="C306" s="6">
        <f>SUM(C304:C305)</f>
        <v>41</v>
      </c>
      <c r="D306" s="6">
        <f>SUM(D304:D305)</f>
        <v>5</v>
      </c>
      <c r="G306">
        <v>26</v>
      </c>
      <c r="H306">
        <v>2</v>
      </c>
      <c r="I306">
        <v>34</v>
      </c>
    </row>
    <row r="307" spans="1:9" x14ac:dyDescent="0.25">
      <c r="A307">
        <v>22</v>
      </c>
      <c r="B307">
        <v>27</v>
      </c>
      <c r="C307">
        <v>4</v>
      </c>
      <c r="D307">
        <v>1</v>
      </c>
      <c r="G307">
        <v>58</v>
      </c>
      <c r="H307">
        <v>24</v>
      </c>
      <c r="I307">
        <v>140</v>
      </c>
    </row>
    <row r="308" spans="1:9" x14ac:dyDescent="0.25">
      <c r="B308">
        <v>5</v>
      </c>
      <c r="C308">
        <v>1</v>
      </c>
      <c r="D308">
        <v>0</v>
      </c>
      <c r="G308">
        <v>41</v>
      </c>
      <c r="H308">
        <v>5</v>
      </c>
      <c r="I308">
        <v>82</v>
      </c>
    </row>
    <row r="309" spans="1:9" x14ac:dyDescent="0.25">
      <c r="A309" s="6"/>
      <c r="B309" s="6">
        <f>SUM(B307:B308)</f>
        <v>32</v>
      </c>
      <c r="C309" s="6">
        <f>SUM(C307:C308)</f>
        <v>5</v>
      </c>
      <c r="D309" s="6">
        <f>SUM(D307:D308)</f>
        <v>1</v>
      </c>
      <c r="G309">
        <v>5</v>
      </c>
      <c r="H309">
        <v>1</v>
      </c>
      <c r="I309">
        <v>32</v>
      </c>
    </row>
    <row r="310" spans="1:9" x14ac:dyDescent="0.25">
      <c r="G310">
        <v>9</v>
      </c>
      <c r="H310">
        <v>6</v>
      </c>
      <c r="I310">
        <v>33</v>
      </c>
    </row>
    <row r="311" spans="1:9" x14ac:dyDescent="0.25">
      <c r="G311">
        <v>17</v>
      </c>
      <c r="H311">
        <v>5</v>
      </c>
      <c r="I311">
        <v>26</v>
      </c>
    </row>
    <row r="312" spans="1:9" x14ac:dyDescent="0.25">
      <c r="A312">
        <v>18</v>
      </c>
      <c r="B312">
        <v>12</v>
      </c>
      <c r="C312">
        <v>8</v>
      </c>
      <c r="D312">
        <v>2</v>
      </c>
      <c r="G312">
        <v>15</v>
      </c>
      <c r="H312">
        <v>4</v>
      </c>
      <c r="I312">
        <v>114</v>
      </c>
    </row>
    <row r="313" spans="1:9" x14ac:dyDescent="0.25">
      <c r="B313">
        <v>68</v>
      </c>
      <c r="C313">
        <v>30</v>
      </c>
      <c r="D313">
        <v>5</v>
      </c>
      <c r="G313">
        <v>21</v>
      </c>
      <c r="H313">
        <v>3</v>
      </c>
      <c r="I313">
        <v>70</v>
      </c>
    </row>
    <row r="314" spans="1:9" x14ac:dyDescent="0.25">
      <c r="A314" s="6"/>
      <c r="B314" s="6">
        <f>SUM(B312:B313)</f>
        <v>80</v>
      </c>
      <c r="C314" s="6">
        <f>SUM(C312:C313)</f>
        <v>38</v>
      </c>
      <c r="D314" s="6">
        <f>SUM(D312:D313)</f>
        <v>7</v>
      </c>
      <c r="G314">
        <v>12</v>
      </c>
      <c r="H314">
        <v>4</v>
      </c>
      <c r="I314">
        <v>123</v>
      </c>
    </row>
    <row r="315" spans="1:9" x14ac:dyDescent="0.25">
      <c r="A315">
        <v>19</v>
      </c>
      <c r="B315">
        <v>26</v>
      </c>
      <c r="C315">
        <v>20</v>
      </c>
      <c r="D315">
        <v>1</v>
      </c>
      <c r="G315">
        <f>SUM(G302:G314)</f>
        <v>291</v>
      </c>
      <c r="H315">
        <f>SUM(H302:H314)</f>
        <v>70</v>
      </c>
      <c r="I315">
        <f>SUM(I302:I314)</f>
        <v>1037</v>
      </c>
    </row>
    <row r="316" spans="1:9" x14ac:dyDescent="0.25">
      <c r="B316">
        <v>8</v>
      </c>
      <c r="C316">
        <v>6</v>
      </c>
      <c r="D316">
        <v>1</v>
      </c>
    </row>
    <row r="317" spans="1:9" x14ac:dyDescent="0.25">
      <c r="A317" s="6"/>
      <c r="B317" s="6">
        <f>SUM(B315:B316)</f>
        <v>34</v>
      </c>
      <c r="C317" s="6">
        <f>SUM(C315:C316)</f>
        <v>26</v>
      </c>
      <c r="D317" s="6">
        <f>SUM(D315:D316)</f>
        <v>2</v>
      </c>
    </row>
    <row r="323" spans="1:18" x14ac:dyDescent="0.25">
      <c r="A323">
        <v>0.20899999999999999</v>
      </c>
      <c r="C323">
        <v>0.23</v>
      </c>
      <c r="E323">
        <v>1.39</v>
      </c>
      <c r="F323">
        <v>3.5000000000000003E-2</v>
      </c>
      <c r="G323">
        <v>0.20899999999999999</v>
      </c>
    </row>
    <row r="324" spans="1:18" x14ac:dyDescent="0.25">
      <c r="A324">
        <v>0.25</v>
      </c>
      <c r="C324">
        <v>0.28000000000000003</v>
      </c>
      <c r="E324">
        <v>1.67</v>
      </c>
      <c r="F324">
        <v>0.41699999999999998</v>
      </c>
      <c r="G324">
        <v>0.25</v>
      </c>
    </row>
    <row r="325" spans="1:18" x14ac:dyDescent="0.25">
      <c r="A325">
        <v>0.41699999999999998</v>
      </c>
      <c r="C325">
        <v>0.46</v>
      </c>
      <c r="E325">
        <v>2.78</v>
      </c>
      <c r="F325">
        <v>7.0000000000000007E-2</v>
      </c>
      <c r="G325">
        <v>0.41699999999999998</v>
      </c>
    </row>
    <row r="326" spans="1:18" x14ac:dyDescent="0.25">
      <c r="A326">
        <v>0.33400000000000002</v>
      </c>
      <c r="C326">
        <v>0.37</v>
      </c>
      <c r="E326">
        <v>2.2200000000000002</v>
      </c>
      <c r="F326">
        <v>5.6000000000000001E-2</v>
      </c>
      <c r="G326">
        <v>0.33400000000000002</v>
      </c>
    </row>
    <row r="327" spans="1:18" x14ac:dyDescent="0.25">
      <c r="A327">
        <v>10.5</v>
      </c>
      <c r="C327">
        <v>11.67</v>
      </c>
      <c r="E327">
        <v>70</v>
      </c>
      <c r="F327">
        <v>1.75</v>
      </c>
      <c r="G327">
        <v>10.5</v>
      </c>
    </row>
    <row r="328" spans="1:18" x14ac:dyDescent="0.25">
      <c r="A328">
        <v>0.45900000000000002</v>
      </c>
      <c r="C328">
        <v>0.51</v>
      </c>
      <c r="E328">
        <v>3.06</v>
      </c>
      <c r="F328">
        <v>7.6999999999999999E-2</v>
      </c>
      <c r="G328">
        <v>0.45900000000000002</v>
      </c>
      <c r="H328">
        <v>376</v>
      </c>
    </row>
    <row r="329" spans="1:18" x14ac:dyDescent="0.25">
      <c r="A329">
        <v>16.709</v>
      </c>
      <c r="C329">
        <v>18.559999999999999</v>
      </c>
      <c r="E329">
        <v>111.39</v>
      </c>
      <c r="F329">
        <v>2.7850000000000001</v>
      </c>
      <c r="G329">
        <v>16.709</v>
      </c>
      <c r="H329">
        <v>317</v>
      </c>
    </row>
    <row r="330" spans="1:18" x14ac:dyDescent="0.25">
      <c r="A330">
        <v>0.20899999999999999</v>
      </c>
      <c r="C330">
        <v>0.23</v>
      </c>
      <c r="E330">
        <v>1.39</v>
      </c>
      <c r="F330">
        <v>3.5000000000000003E-2</v>
      </c>
      <c r="G330">
        <v>0.20899999999999999</v>
      </c>
      <c r="H330">
        <v>310</v>
      </c>
    </row>
    <row r="331" spans="1:18" x14ac:dyDescent="0.25">
      <c r="A331">
        <v>0.20899999999999999</v>
      </c>
      <c r="C331">
        <v>0.23</v>
      </c>
      <c r="E331">
        <v>4.72</v>
      </c>
      <c r="F331">
        <v>3.5000000000000003E-2</v>
      </c>
      <c r="G331">
        <v>0.20899999999999999</v>
      </c>
      <c r="H331">
        <f>SUM(H328:H330)</f>
        <v>1003</v>
      </c>
      <c r="O331">
        <v>376</v>
      </c>
      <c r="P331">
        <v>0.5</v>
      </c>
      <c r="Q331">
        <v>27</v>
      </c>
      <c r="R331">
        <f>(O331*P331)/27</f>
        <v>6.9629629629629628</v>
      </c>
    </row>
    <row r="332" spans="1:18" x14ac:dyDescent="0.25">
      <c r="A332">
        <v>0.70899999999999996</v>
      </c>
      <c r="C332">
        <v>0.79</v>
      </c>
      <c r="E332">
        <v>1.67</v>
      </c>
      <c r="F332">
        <v>0.11799999999999999</v>
      </c>
      <c r="G332">
        <v>0.70899999999999996</v>
      </c>
      <c r="H332">
        <v>10199</v>
      </c>
      <c r="O332">
        <v>317</v>
      </c>
      <c r="P332">
        <v>0.5</v>
      </c>
      <c r="Q332">
        <v>27</v>
      </c>
      <c r="R332">
        <f t="shared" ref="R332:R333" si="12">(O332*P332)/27</f>
        <v>5.8703703703703702</v>
      </c>
    </row>
    <row r="333" spans="1:18" x14ac:dyDescent="0.25">
      <c r="A333">
        <v>0.25</v>
      </c>
      <c r="C333">
        <v>0.28000000000000003</v>
      </c>
      <c r="E333">
        <v>3.33</v>
      </c>
      <c r="F333">
        <v>4.2000000000000003E-2</v>
      </c>
      <c r="G333">
        <v>0.25</v>
      </c>
      <c r="H333">
        <f>H332+H331</f>
        <v>11202</v>
      </c>
      <c r="O333">
        <v>310</v>
      </c>
      <c r="P333">
        <v>0.5</v>
      </c>
      <c r="Q333">
        <v>27</v>
      </c>
      <c r="R333">
        <f t="shared" si="12"/>
        <v>5.7407407407407405</v>
      </c>
    </row>
    <row r="334" spans="1:18" x14ac:dyDescent="0.25">
      <c r="A334">
        <v>0.5</v>
      </c>
      <c r="C334">
        <v>0.56000000000000005</v>
      </c>
      <c r="E334">
        <v>3.66</v>
      </c>
      <c r="F334">
        <v>8.4000000000000005E-2</v>
      </c>
      <c r="G334">
        <v>0.5</v>
      </c>
      <c r="P334">
        <v>0.5</v>
      </c>
      <c r="Q334">
        <v>27</v>
      </c>
    </row>
    <row r="335" spans="1:18" x14ac:dyDescent="0.25">
      <c r="A335">
        <v>0.55000000000000004</v>
      </c>
      <c r="C335">
        <v>0.61</v>
      </c>
      <c r="E335">
        <v>2.73</v>
      </c>
      <c r="F335">
        <v>9.1999999999999998E-2</v>
      </c>
      <c r="G335">
        <v>0.55000000000000004</v>
      </c>
    </row>
    <row r="336" spans="1:18" x14ac:dyDescent="0.25">
      <c r="A336">
        <v>0.41</v>
      </c>
      <c r="C336">
        <v>0.45</v>
      </c>
      <c r="E336">
        <v>3.06</v>
      </c>
      <c r="F336">
        <v>6.9000000000000006E-2</v>
      </c>
      <c r="G336">
        <v>0.41</v>
      </c>
    </row>
    <row r="337" spans="1:20" x14ac:dyDescent="0.25">
      <c r="A337">
        <v>0.45900000000000002</v>
      </c>
      <c r="C337">
        <v>0.51</v>
      </c>
      <c r="E337">
        <v>3.06</v>
      </c>
      <c r="F337">
        <v>7.6999999999999999E-2</v>
      </c>
      <c r="G337">
        <v>0.45900000000000002</v>
      </c>
    </row>
    <row r="338" spans="1:20" x14ac:dyDescent="0.25">
      <c r="A338">
        <v>0.45900000000000002</v>
      </c>
      <c r="C338">
        <v>0.51</v>
      </c>
      <c r="E338">
        <v>1132.8900000000001</v>
      </c>
      <c r="F338">
        <v>7.6999999999999999E-2</v>
      </c>
      <c r="G338">
        <v>0.45900000000000002</v>
      </c>
      <c r="H338">
        <v>11202</v>
      </c>
      <c r="I338">
        <v>0.5</v>
      </c>
      <c r="J338">
        <v>27</v>
      </c>
    </row>
    <row r="339" spans="1:20" x14ac:dyDescent="0.25">
      <c r="A339">
        <f>SUM(A323:A338)</f>
        <v>32.633000000000003</v>
      </c>
      <c r="C339">
        <v>188.87</v>
      </c>
      <c r="E339">
        <f>SUM(E323:E338)</f>
        <v>1349.02</v>
      </c>
      <c r="F339">
        <f>SUM(F323:F338)</f>
        <v>5.819</v>
      </c>
      <c r="G339">
        <f>SUM(G323:G338)</f>
        <v>32.633000000000003</v>
      </c>
      <c r="J339">
        <f>H338*I338</f>
        <v>5601</v>
      </c>
    </row>
    <row r="340" spans="1:20" x14ac:dyDescent="0.25">
      <c r="C340">
        <f>SUM(C323:C339)</f>
        <v>225.12</v>
      </c>
      <c r="K340">
        <f>J339/27</f>
        <v>207.44444444444446</v>
      </c>
    </row>
    <row r="342" spans="1:20" x14ac:dyDescent="0.25">
      <c r="A342" t="s">
        <v>155</v>
      </c>
    </row>
    <row r="346" spans="1:20" x14ac:dyDescent="0.25">
      <c r="A346" s="3"/>
      <c r="B346" s="3">
        <v>202</v>
      </c>
      <c r="C346" s="3">
        <v>202</v>
      </c>
      <c r="D346" s="7">
        <v>202</v>
      </c>
      <c r="E346" s="7"/>
      <c r="F346" s="7">
        <v>611</v>
      </c>
      <c r="G346" s="7">
        <v>625</v>
      </c>
      <c r="H346" s="7">
        <v>606</v>
      </c>
      <c r="I346" s="3">
        <v>606</v>
      </c>
      <c r="J346" s="3">
        <v>606</v>
      </c>
      <c r="K346" s="3">
        <v>608</v>
      </c>
      <c r="L346" s="3">
        <v>609</v>
      </c>
      <c r="M346" s="3">
        <v>608</v>
      </c>
      <c r="N346" s="3">
        <v>609</v>
      </c>
      <c r="O346" s="3"/>
      <c r="P346" s="3"/>
      <c r="Q346" s="3"/>
      <c r="R346" s="3"/>
    </row>
    <row r="347" spans="1:20" ht="86.25" customHeight="1" x14ac:dyDescent="0.25">
      <c r="A347" s="9" t="s">
        <v>151</v>
      </c>
      <c r="B347" s="9" t="s">
        <v>162</v>
      </c>
      <c r="C347" s="9" t="s">
        <v>163</v>
      </c>
      <c r="D347" s="9" t="s">
        <v>164</v>
      </c>
      <c r="E347" s="9"/>
      <c r="F347" s="9" t="s">
        <v>165</v>
      </c>
      <c r="G347" s="9" t="s">
        <v>166</v>
      </c>
      <c r="H347" s="9" t="s">
        <v>156</v>
      </c>
      <c r="I347" s="9" t="s">
        <v>157</v>
      </c>
      <c r="J347" s="9" t="s">
        <v>158</v>
      </c>
      <c r="K347" s="9" t="s">
        <v>159</v>
      </c>
      <c r="L347" s="9" t="s">
        <v>160</v>
      </c>
      <c r="M347" s="9" t="s">
        <v>161</v>
      </c>
      <c r="N347" s="9" t="s">
        <v>167</v>
      </c>
      <c r="O347" s="9"/>
      <c r="P347" s="9"/>
      <c r="Q347" s="9"/>
      <c r="R347" s="9"/>
      <c r="S347" s="8"/>
      <c r="T347" s="8"/>
    </row>
    <row r="348" spans="1:20" x14ac:dyDescent="0.25">
      <c r="A348" s="10">
        <v>8</v>
      </c>
      <c r="B348" s="7"/>
      <c r="C348" s="7"/>
      <c r="D348" s="7"/>
      <c r="E348" s="7"/>
      <c r="F348" s="7"/>
      <c r="G348" s="7"/>
      <c r="H348" s="7"/>
      <c r="I348" s="7"/>
      <c r="J348" s="7"/>
      <c r="K348" s="7">
        <v>938</v>
      </c>
      <c r="L348" s="7"/>
      <c r="M348" s="7">
        <v>68</v>
      </c>
    </row>
    <row r="349" spans="1:20" x14ac:dyDescent="0.25">
      <c r="A349" s="10">
        <v>9</v>
      </c>
      <c r="B349" s="7">
        <v>8</v>
      </c>
      <c r="C349" s="7"/>
      <c r="D349" s="7"/>
      <c r="E349" s="7"/>
      <c r="F349" s="7"/>
      <c r="G349" s="7"/>
      <c r="H349" s="7"/>
      <c r="I349" s="7"/>
      <c r="J349" s="7"/>
      <c r="K349" s="7">
        <v>948</v>
      </c>
      <c r="L349" s="7"/>
      <c r="M349" s="7">
        <v>124</v>
      </c>
    </row>
    <row r="350" spans="1:20" x14ac:dyDescent="0.25">
      <c r="A350" s="10">
        <v>10</v>
      </c>
      <c r="B350" s="7">
        <v>247</v>
      </c>
      <c r="C350" s="7"/>
      <c r="D350" s="7">
        <v>57</v>
      </c>
      <c r="E350" s="7"/>
      <c r="F350" s="7"/>
      <c r="G350" s="7"/>
      <c r="H350" s="7"/>
      <c r="I350" s="7"/>
      <c r="J350" s="7"/>
      <c r="K350" s="7">
        <v>1291</v>
      </c>
      <c r="L350" s="7">
        <v>206</v>
      </c>
      <c r="M350" s="7">
        <v>377</v>
      </c>
    </row>
    <row r="351" spans="1:20" x14ac:dyDescent="0.25">
      <c r="A351" s="10">
        <v>7</v>
      </c>
      <c r="B351" s="7">
        <v>17</v>
      </c>
      <c r="C351" s="7"/>
      <c r="D351" s="7">
        <v>128</v>
      </c>
      <c r="E351" s="7"/>
      <c r="F351" s="7"/>
      <c r="G351" s="7"/>
      <c r="H351" s="7"/>
      <c r="I351" s="7"/>
      <c r="J351" s="7"/>
      <c r="K351" s="7">
        <v>3196</v>
      </c>
      <c r="L351" s="7">
        <v>379</v>
      </c>
      <c r="M351" s="7">
        <v>330</v>
      </c>
    </row>
    <row r="352" spans="1:20" x14ac:dyDescent="0.25">
      <c r="A352" s="10">
        <v>12</v>
      </c>
      <c r="B352" s="7"/>
      <c r="C352" s="7"/>
      <c r="D352" s="7">
        <v>6</v>
      </c>
      <c r="E352" s="7"/>
      <c r="F352" s="7"/>
      <c r="G352" s="7"/>
      <c r="H352" s="7"/>
      <c r="I352" s="7"/>
      <c r="J352" s="7"/>
      <c r="K352" s="7">
        <v>261</v>
      </c>
      <c r="L352" s="7"/>
      <c r="M352" s="7">
        <v>175</v>
      </c>
    </row>
    <row r="353" spans="1:21" x14ac:dyDescent="0.25">
      <c r="A353" s="10">
        <v>13</v>
      </c>
      <c r="B353" s="7">
        <v>12</v>
      </c>
      <c r="C353" s="7"/>
      <c r="D353" s="7">
        <v>89</v>
      </c>
      <c r="E353" s="7"/>
      <c r="F353" s="7">
        <v>3</v>
      </c>
      <c r="G353" s="7">
        <v>1</v>
      </c>
      <c r="H353" s="7"/>
      <c r="I353" s="7"/>
      <c r="J353" s="7"/>
      <c r="K353" s="7">
        <v>2267</v>
      </c>
      <c r="L353" s="7">
        <v>126</v>
      </c>
      <c r="M353" s="7">
        <v>138</v>
      </c>
    </row>
    <row r="354" spans="1:21" x14ac:dyDescent="0.25">
      <c r="A354" s="10">
        <v>14</v>
      </c>
      <c r="B354" s="7">
        <v>57</v>
      </c>
      <c r="C354" s="7">
        <v>166</v>
      </c>
      <c r="D354" s="7"/>
      <c r="E354" s="7"/>
      <c r="F354" s="7"/>
      <c r="G354" s="7"/>
      <c r="H354" s="7">
        <v>62.5</v>
      </c>
      <c r="I354" s="7">
        <v>2</v>
      </c>
      <c r="J354" s="7">
        <v>2</v>
      </c>
      <c r="K354" s="7">
        <v>1298</v>
      </c>
      <c r="L354" s="7"/>
      <c r="M354" s="7">
        <v>108</v>
      </c>
      <c r="N354" s="7">
        <v>35</v>
      </c>
    </row>
    <row r="355" spans="1:21" x14ac:dyDescent="0.25">
      <c r="A355" s="11"/>
      <c r="B355" s="13">
        <f>SUM(B348:B354)</f>
        <v>341</v>
      </c>
      <c r="C355" s="13">
        <f>SUM(C354)</f>
        <v>166</v>
      </c>
      <c r="D355" s="13">
        <f>SUM(D350:D354)</f>
        <v>280</v>
      </c>
      <c r="E355" s="13"/>
      <c r="F355" s="13">
        <v>3</v>
      </c>
      <c r="G355" s="13">
        <v>1</v>
      </c>
      <c r="H355" s="12">
        <v>62.5</v>
      </c>
      <c r="I355" s="13">
        <v>2</v>
      </c>
      <c r="J355" s="13">
        <v>2</v>
      </c>
      <c r="K355" s="13">
        <f>SUM(K348:K354)</f>
        <v>10199</v>
      </c>
      <c r="L355" s="13">
        <f>SUM(L348:L354)</f>
        <v>711</v>
      </c>
      <c r="M355" s="13">
        <f>SUM(M348:M354)</f>
        <v>1320</v>
      </c>
    </row>
    <row r="356" spans="1:21" x14ac:dyDescent="0.25">
      <c r="A356" s="10"/>
      <c r="D356" s="7"/>
      <c r="S356" t="s">
        <v>183</v>
      </c>
      <c r="T356">
        <v>2</v>
      </c>
    </row>
    <row r="357" spans="1:21" x14ac:dyDescent="0.25">
      <c r="A357" s="10"/>
      <c r="D357" s="7"/>
      <c r="S357" t="s">
        <v>184</v>
      </c>
      <c r="T357">
        <v>116</v>
      </c>
    </row>
    <row r="358" spans="1:21" x14ac:dyDescent="0.25">
      <c r="A358" s="10"/>
      <c r="D358" s="7"/>
      <c r="S358" t="s">
        <v>152</v>
      </c>
      <c r="T358">
        <v>1037</v>
      </c>
    </row>
    <row r="359" spans="1:21" x14ac:dyDescent="0.25">
      <c r="A359" s="10"/>
      <c r="D359" s="7"/>
      <c r="S359" t="s">
        <v>185</v>
      </c>
      <c r="T359">
        <v>0.14000000000000001</v>
      </c>
    </row>
    <row r="360" spans="1:21" x14ac:dyDescent="0.25">
      <c r="D360" s="7"/>
      <c r="J360">
        <f>10199*0.5</f>
        <v>5099.5</v>
      </c>
      <c r="S360" t="s">
        <v>187</v>
      </c>
      <c r="T360">
        <v>0.03</v>
      </c>
    </row>
    <row r="361" spans="1:21" x14ac:dyDescent="0.25">
      <c r="D361" s="7"/>
      <c r="J361">
        <f>J360/27</f>
        <v>188.87037037037038</v>
      </c>
      <c r="S361" t="s">
        <v>186</v>
      </c>
      <c r="T361">
        <v>6</v>
      </c>
    </row>
    <row r="362" spans="1:21" x14ac:dyDescent="0.25">
      <c r="D362" s="7"/>
    </row>
    <row r="363" spans="1:21" x14ac:dyDescent="0.25">
      <c r="D363" s="7"/>
      <c r="S363" t="s">
        <v>180</v>
      </c>
      <c r="T363">
        <v>291</v>
      </c>
    </row>
    <row r="364" spans="1:21" x14ac:dyDescent="0.25">
      <c r="D364" s="7"/>
      <c r="S364" t="s">
        <v>181</v>
      </c>
      <c r="T364">
        <v>70</v>
      </c>
    </row>
    <row r="365" spans="1:21" x14ac:dyDescent="0.25">
      <c r="D365" s="7"/>
      <c r="S365" t="s">
        <v>182</v>
      </c>
      <c r="T365">
        <v>1037</v>
      </c>
    </row>
    <row r="366" spans="1:21" x14ac:dyDescent="0.25">
      <c r="D366" s="7"/>
    </row>
    <row r="367" spans="1:21" x14ac:dyDescent="0.25">
      <c r="A367">
        <v>407</v>
      </c>
      <c r="D367" s="7"/>
    </row>
    <row r="368" spans="1:21" x14ac:dyDescent="0.25">
      <c r="A368">
        <v>441</v>
      </c>
      <c r="D368" s="7"/>
      <c r="S368" s="6" t="s">
        <v>168</v>
      </c>
      <c r="T368" s="6">
        <v>44</v>
      </c>
      <c r="U368" s="6" t="s">
        <v>169</v>
      </c>
    </row>
    <row r="369" spans="1:21" x14ac:dyDescent="0.25">
      <c r="A369">
        <v>301</v>
      </c>
      <c r="D369" s="7"/>
      <c r="G369">
        <v>11202</v>
      </c>
      <c r="H369">
        <f>10196*0.5</f>
        <v>5098</v>
      </c>
      <c r="S369" s="6" t="s">
        <v>170</v>
      </c>
      <c r="T369" s="6">
        <f>1350+109</f>
        <v>1459</v>
      </c>
      <c r="U369" s="6" t="s">
        <v>171</v>
      </c>
    </row>
    <row r="370" spans="1:21" x14ac:dyDescent="0.25">
      <c r="G370">
        <f>379+317+310</f>
        <v>1006</v>
      </c>
      <c r="H370">
        <f>10196/9</f>
        <v>1132.8888888888889</v>
      </c>
      <c r="S370" s="6" t="s">
        <v>172</v>
      </c>
      <c r="T370" s="6">
        <v>6</v>
      </c>
      <c r="U370" s="6" t="s">
        <v>173</v>
      </c>
    </row>
    <row r="371" spans="1:21" x14ac:dyDescent="0.25">
      <c r="G371">
        <f>G369-G370</f>
        <v>10196</v>
      </c>
      <c r="S371" s="6" t="s">
        <v>174</v>
      </c>
      <c r="T371" s="6">
        <v>6</v>
      </c>
      <c r="U371" s="6" t="s">
        <v>173</v>
      </c>
    </row>
    <row r="372" spans="1:21" x14ac:dyDescent="0.25">
      <c r="K372">
        <f>11202*0.5</f>
        <v>5601</v>
      </c>
      <c r="S372" t="s">
        <v>175</v>
      </c>
      <c r="T372">
        <v>33</v>
      </c>
      <c r="U372" t="s">
        <v>173</v>
      </c>
    </row>
    <row r="373" spans="1:21" x14ac:dyDescent="0.25">
      <c r="K373">
        <f>K372/27</f>
        <v>207.44444444444446</v>
      </c>
      <c r="L373">
        <f>188.87</f>
        <v>188.87</v>
      </c>
      <c r="M373">
        <v>207.4444</v>
      </c>
      <c r="S373" t="s">
        <v>176</v>
      </c>
      <c r="T373">
        <f>19+226</f>
        <v>245</v>
      </c>
      <c r="U373" t="s">
        <v>173</v>
      </c>
    </row>
    <row r="374" spans="1:21" x14ac:dyDescent="0.25">
      <c r="S374" t="s">
        <v>178</v>
      </c>
      <c r="T374">
        <v>37</v>
      </c>
      <c r="U374" t="s">
        <v>173</v>
      </c>
    </row>
    <row r="375" spans="1:21" x14ac:dyDescent="0.25">
      <c r="L375">
        <f>M373-L373</f>
        <v>18.574399999999997</v>
      </c>
      <c r="S375" t="s">
        <v>179</v>
      </c>
      <c r="T375">
        <v>109</v>
      </c>
      <c r="U375" t="s">
        <v>171</v>
      </c>
    </row>
    <row r="376" spans="1:21" x14ac:dyDescent="0.25">
      <c r="M376" t="s">
        <v>177</v>
      </c>
    </row>
    <row r="377" spans="1:21" x14ac:dyDescent="0.25">
      <c r="M377">
        <f>226+19</f>
        <v>245</v>
      </c>
    </row>
    <row r="388" spans="4:10" x14ac:dyDescent="0.25">
      <c r="D388">
        <v>1085.83</v>
      </c>
      <c r="E388">
        <f>6*0.0156</f>
        <v>9.3599999999999989E-2</v>
      </c>
    </row>
    <row r="389" spans="4:10" x14ac:dyDescent="0.25">
      <c r="D389">
        <f>D388-E388</f>
        <v>1085.7364</v>
      </c>
    </row>
    <row r="390" spans="4:10" x14ac:dyDescent="0.25">
      <c r="I390">
        <f>8.67-2.08</f>
        <v>6.59</v>
      </c>
    </row>
    <row r="391" spans="4:10" x14ac:dyDescent="0.25">
      <c r="I391">
        <f>0.83-0.79</f>
        <v>3.9999999999999925E-2</v>
      </c>
    </row>
    <row r="392" spans="4:10" x14ac:dyDescent="0.25">
      <c r="I392">
        <f>I391/I390</f>
        <v>6.0698027314112181E-3</v>
      </c>
    </row>
    <row r="393" spans="4:10" x14ac:dyDescent="0.25">
      <c r="G393">
        <v>15.01</v>
      </c>
      <c r="H393">
        <v>1086.1500000000001</v>
      </c>
      <c r="I393">
        <v>102.08</v>
      </c>
      <c r="J393">
        <v>6.2</v>
      </c>
    </row>
    <row r="394" spans="4:10" x14ac:dyDescent="0.25">
      <c r="G394">
        <v>8.67</v>
      </c>
      <c r="H394">
        <v>1085.83</v>
      </c>
      <c r="I394">
        <v>93.42</v>
      </c>
      <c r="J394">
        <v>5.79</v>
      </c>
    </row>
    <row r="395" spans="4:10" x14ac:dyDescent="0.25">
      <c r="G395">
        <f>G393-G394</f>
        <v>6.34</v>
      </c>
      <c r="H395">
        <f>H393-H394</f>
        <v>0.32000000000016371</v>
      </c>
      <c r="I395">
        <f>I393-I394</f>
        <v>8.6599999999999966</v>
      </c>
      <c r="J395">
        <f>J393-J394</f>
        <v>0.41000000000000014</v>
      </c>
    </row>
    <row r="397" spans="4:10" x14ac:dyDescent="0.25">
      <c r="G397">
        <f>H395/G395</f>
        <v>5.0473186119899642E-2</v>
      </c>
      <c r="I397">
        <f>J395/I395</f>
        <v>4.7344110854503497E-2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Frederick Werner</dc:creator>
  <cp:lastModifiedBy>Frederick Werner</cp:lastModifiedBy>
  <dcterms:created xsi:type="dcterms:W3CDTF">2025-07-21T23:16:09Z</dcterms:created>
  <dcterms:modified xsi:type="dcterms:W3CDTF">2025-08-01T14:29:03Z</dcterms:modified>
</cp:coreProperties>
</file>